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Usage Log" sheetId="2" state="visible" r:id="rId2"/>
    <sheet xmlns:r="http://schemas.openxmlformats.org/officeDocument/2006/relationships" name="Cylinder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'Usage Log'!$A$5:$S$105</definedName>
    <definedName name="_xlnm._FilterDatabase" localSheetId="2" hidden="1">'Cylinders'!$A$5:$J$105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0.00 &quot;lb&quot;"/>
    <numFmt numFmtId="166" formatCode="$#,##0.00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3676D"/>
      <sz val="10"/>
    </font>
    <font>
      <name val="Calibri"/>
      <b val="1"/>
      <color rgb="00243746"/>
      <sz val="10"/>
    </font>
    <font>
      <name val="Calibri"/>
      <color rgb="00243746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F1F6F7"/>
      </patternFill>
    </fill>
    <fill>
      <patternFill patternType="solid">
        <fgColor rgb="00FFFFFF"/>
      </patternFill>
    </fill>
    <fill>
      <patternFill patternType="solid">
        <fgColor rgb="00167D8D"/>
      </patternFill>
    </fill>
    <fill>
      <patternFill patternType="solid">
        <fgColor rgb="00FFF1DE"/>
      </patternFill>
    </fill>
  </fills>
  <borders count="2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pivotButton="0" quotePrefix="0" xfId="0"/>
    <xf numFmtId="0" fontId="3" fillId="3" borderId="1" pivotButton="0" quotePrefix="0" xfId="0"/>
    <xf numFmtId="164" fontId="4" fillId="4" borderId="1" pivotButton="0" quotePrefix="0" xfId="0"/>
    <xf numFmtId="0" fontId="5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4" fillId="4" borderId="1" pivotButton="0" quotePrefix="0" xfId="0"/>
    <xf numFmtId="165" fontId="4" fillId="4" borderId="1" pivotButton="0" quotePrefix="0" xfId="0"/>
    <xf numFmtId="0" fontId="4" fillId="3" borderId="1" pivotButton="0" quotePrefix="0" xfId="0"/>
    <xf numFmtId="165" fontId="4" fillId="3" borderId="1" pivotButton="0" quotePrefix="0" xfId="0"/>
    <xf numFmtId="0" fontId="5" fillId="5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2" fontId="4" fillId="6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2" fontId="4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right" vertical="center"/>
    </xf>
    <xf numFmtId="2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Used by Refrigerant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'Summary'!B16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E87524"/>
              </a:solidFill>
              <a:prstDash val="solid"/>
            </a:ln>
          </spPr>
          <cat>
            <numRef>
              <f>'Summary'!$A$17:$A$24</f>
            </numRef>
          </cat>
          <val>
            <numRef>
              <f>'Summary'!$B$17:$B$24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Pounds Used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4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18" customWidth="1" min="4" max="4"/>
    <col width="16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HVAC Refrigerant Usage Log Summary</t>
        </is>
      </c>
    </row>
    <row r="2">
      <c r="A2" s="3" t="inlineStr">
        <is>
          <t>Calculated from fictional sample entries and user-entered records.</t>
        </is>
      </c>
    </row>
    <row r="3">
      <c r="A3" s="4" t="inlineStr">
        <is>
          <t>Report Start</t>
        </is>
      </c>
      <c r="B3" s="5">
        <f>Assumptions!B4</f>
        <v/>
      </c>
      <c r="D3" s="4" t="inlineStr">
        <is>
          <t>Report End</t>
        </is>
      </c>
      <c r="E3" s="5">
        <f>Assumptions!B5</f>
        <v/>
      </c>
    </row>
    <row r="4"/>
    <row r="5">
      <c r="A5" s="6" t="inlineStr">
        <is>
          <t>Indicator</t>
        </is>
      </c>
      <c r="B5" s="6" t="inlineStr">
        <is>
          <t>Calculated Value</t>
        </is>
      </c>
    </row>
    <row r="6">
      <c r="A6" s="7" t="inlineStr">
        <is>
          <t>Transactions in Period</t>
        </is>
      </c>
      <c r="B6" s="8">
        <f>IFERROR(COUNTIFS('Usage Log'!$A$6:$A$105,"&gt;="&amp;Assumptions!$B$4,'Usage Log'!$A$6:$A$105,"&lt;="&amp;Assumptions!$B$5,'Usage Log'!$B$6:$B$105,"&lt;&gt;",'Usage Log'!$Q$6:$Q$105,"&lt;&gt;Voided"),0)</f>
        <v/>
      </c>
    </row>
    <row r="7">
      <c r="A7" s="9" t="inlineStr">
        <is>
          <t>Refrigerant Used</t>
        </is>
      </c>
      <c r="B7" s="10">
        <f>IFERROR(SUMIFS('Usage Log'!$J$6:$J$105,'Usage Log'!$A$6:$A$105,"&gt;="&amp;Assumptions!$B$4,'Usage Log'!$A$6:$A$105,"&lt;="&amp;Assumptions!$B$5,'Usage Log'!$Q$6:$Q$105,"&lt;&gt;Voided"),0)</f>
        <v/>
      </c>
    </row>
    <row r="8">
      <c r="A8" s="7" t="inlineStr">
        <is>
          <t>Usage Cost</t>
        </is>
      </c>
      <c r="B8" s="11">
        <f>IFERROR(SUMIFS('Usage Log'!$N$6:$N$105,'Usage Log'!$A$6:$A$105,"&gt;="&amp;Assumptions!$B$4,'Usage Log'!$A$6:$A$105,"&lt;="&amp;Assumptions!$B$5,'Usage Log'!$Q$6:$Q$105,"&lt;&gt;Voided"),0)</f>
        <v/>
      </c>
    </row>
    <row r="9">
      <c r="A9" s="9" t="inlineStr">
        <is>
          <t>Records Needing Check</t>
        </is>
      </c>
      <c r="B9" s="12">
        <f>IFERROR(COUNTIF('Usage Log'!$S$6:$S$105,"CHECK*"),0)</f>
        <v/>
      </c>
    </row>
    <row r="10">
      <c r="A10" s="7" t="inlineStr">
        <is>
          <t>Active Cylinders</t>
        </is>
      </c>
      <c r="B10" s="8">
        <f>IFERROR(COUNTIF(Cylinders!$F$6:$F$105,"In Service"),0)</f>
        <v/>
      </c>
    </row>
    <row r="11">
      <c r="A11" s="9" t="inlineStr">
        <is>
          <t>Low-Balance Cylinders</t>
        </is>
      </c>
      <c r="B11" s="12">
        <f>IFERROR(COUNTIF(Cylinders!$J$6:$J$105,"CHECK LOW BALANCE"),0)</f>
        <v/>
      </c>
    </row>
    <row r="12">
      <c r="A12" s="7" t="inlineStr">
        <is>
          <t>Draft Records</t>
        </is>
      </c>
      <c r="B12" s="8">
        <f>IFERROR(COUNTIF('Usage Log'!$Q$6:$Q$105,"Draft"),0)</f>
        <v/>
      </c>
    </row>
    <row r="13">
      <c r="A13" s="9" t="inlineStr">
        <is>
          <t>Average Used per Transaction</t>
        </is>
      </c>
      <c r="B13" s="10">
        <f>IF(B6=0,"",IFERROR(B7/B6,""))</f>
        <v/>
      </c>
    </row>
    <row r="14"/>
    <row r="15"/>
    <row r="16">
      <c r="A16" s="6" t="inlineStr">
        <is>
          <t>Refrigerant</t>
        </is>
      </c>
      <c r="B16" s="6" t="inlineStr">
        <is>
          <t>Used (lb)</t>
        </is>
      </c>
    </row>
    <row r="17">
      <c r="A17" s="13">
        <f>IF(Assumptions!D4="","",Assumptions!D4)</f>
        <v/>
      </c>
      <c r="B17" s="14">
        <f>IF(A17="","",IFERROR(SUMIFS('Usage Log'!$J$6:$J$105,'Usage Log'!$C$6:$C$105,A17,'Usage Log'!$A$6:$A$105,"&gt;="&amp;Assumptions!$B$4,'Usage Log'!$A$6:$A$105,"&lt;="&amp;Assumptions!$B$5,'Usage Log'!$Q$6:$Q$105,"&lt;&gt;Voided"),0))</f>
        <v/>
      </c>
    </row>
    <row r="18">
      <c r="A18" s="15">
        <f>IF(Assumptions!D5="","",Assumptions!D5)</f>
        <v/>
      </c>
      <c r="B18" s="16">
        <f>IF(A18="","",IFERROR(SUMIFS('Usage Log'!$J$6:$J$105,'Usage Log'!$C$6:$C$105,A18,'Usage Log'!$A$6:$A$105,"&gt;="&amp;Assumptions!$B$4,'Usage Log'!$A$6:$A$105,"&lt;="&amp;Assumptions!$B$5,'Usage Log'!$Q$6:$Q$105,"&lt;&gt;Voided"),0))</f>
        <v/>
      </c>
    </row>
    <row r="19">
      <c r="A19" s="13">
        <f>IF(Assumptions!D6="","",Assumptions!D6)</f>
        <v/>
      </c>
      <c r="B19" s="14">
        <f>IF(A19="","",IFERROR(SUMIFS('Usage Log'!$J$6:$J$105,'Usage Log'!$C$6:$C$105,A19,'Usage Log'!$A$6:$A$105,"&gt;="&amp;Assumptions!$B$4,'Usage Log'!$A$6:$A$105,"&lt;="&amp;Assumptions!$B$5,'Usage Log'!$Q$6:$Q$105,"&lt;&gt;Voided"),0))</f>
        <v/>
      </c>
    </row>
    <row r="20">
      <c r="A20" s="15">
        <f>IF(Assumptions!D7="","",Assumptions!D7)</f>
        <v/>
      </c>
      <c r="B20" s="16">
        <f>IF(A20="","",IFERROR(SUMIFS('Usage Log'!$J$6:$J$105,'Usage Log'!$C$6:$C$105,A20,'Usage Log'!$A$6:$A$105,"&gt;="&amp;Assumptions!$B$4,'Usage Log'!$A$6:$A$105,"&lt;="&amp;Assumptions!$B$5,'Usage Log'!$Q$6:$Q$105,"&lt;&gt;Voided"),0))</f>
        <v/>
      </c>
    </row>
    <row r="21">
      <c r="A21" s="13">
        <f>IF(Assumptions!D8="","",Assumptions!D8)</f>
        <v/>
      </c>
      <c r="B21" s="14">
        <f>IF(A21="","",IFERROR(SUMIFS('Usage Log'!$J$6:$J$105,'Usage Log'!$C$6:$C$105,A21,'Usage Log'!$A$6:$A$105,"&gt;="&amp;Assumptions!$B$4,'Usage Log'!$A$6:$A$105,"&lt;="&amp;Assumptions!$B$5,'Usage Log'!$Q$6:$Q$105,"&lt;&gt;Voided"),0))</f>
        <v/>
      </c>
    </row>
    <row r="22">
      <c r="A22" s="15">
        <f>IF(Assumptions!D9="","",Assumptions!D9)</f>
        <v/>
      </c>
      <c r="B22" s="16">
        <f>IF(A22="","",IFERROR(SUMIFS('Usage Log'!$J$6:$J$105,'Usage Log'!$C$6:$C$105,A22,'Usage Log'!$A$6:$A$105,"&gt;="&amp;Assumptions!$B$4,'Usage Log'!$A$6:$A$105,"&lt;="&amp;Assumptions!$B$5,'Usage Log'!$Q$6:$Q$105,"&lt;&gt;Voided"),0))</f>
        <v/>
      </c>
    </row>
    <row r="23">
      <c r="A23" s="13">
        <f>IF(Assumptions!D10="","",Assumptions!D10)</f>
        <v/>
      </c>
      <c r="B23" s="14">
        <f>IF(A23="","",IFERROR(SUMIFS('Usage Log'!$J$6:$J$105,'Usage Log'!$C$6:$C$105,A23,'Usage Log'!$A$6:$A$105,"&gt;="&amp;Assumptions!$B$4,'Usage Log'!$A$6:$A$105,"&lt;="&amp;Assumptions!$B$5,'Usage Log'!$Q$6:$Q$105,"&lt;&gt;Voided"),0))</f>
        <v/>
      </c>
    </row>
    <row r="24">
      <c r="A24" s="15">
        <f>IF(Assumptions!D11="","",Assumptions!D11)</f>
        <v/>
      </c>
      <c r="B24" s="16">
        <f>IF(A24="","",IFERROR(SUMIFS('Usage Log'!$J$6:$J$105,'Usage Log'!$C$6:$C$105,A24,'Usage Log'!$A$6:$A$105,"&gt;="&amp;Assumptions!$B$4,'Usage Log'!$A$6:$A$105,"&lt;="&amp;Assumptions!$B$5,'Usage Log'!$Q$6:$Q$105,"&lt;&gt;Voided"),0))</f>
        <v/>
      </c>
    </row>
  </sheetData>
  <mergeCells count="1">
    <mergeCell ref="A1:H1"/>
  </mergeCells>
  <conditionalFormatting sqref="B9">
    <cfRule type="expression" priority="1" dxfId="0">
      <formula>$B$9&gt;0</formula>
    </cfRule>
  </conditionalFormatting>
  <conditionalFormatting sqref="B11">
    <cfRule type="expression" priority="2" dxfId="0">
      <formula>$B$11&gt;0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4" customWidth="1" min="3" max="3"/>
    <col width="25" customWidth="1" min="4" max="4"/>
    <col width="28" customWidth="1" min="5" max="5"/>
    <col width="16" customWidth="1" min="6" max="6"/>
    <col width="22" customWidth="1" min="7" max="7"/>
    <col width="34" customWidth="1" min="8" max="8"/>
    <col width="12" customWidth="1" min="9" max="9"/>
    <col width="11" customWidth="1" min="10" max="10"/>
    <col width="13" customWidth="1" min="11" max="11"/>
    <col width="8" customWidth="1" min="12" max="12"/>
    <col width="12" customWidth="1" min="13" max="13"/>
    <col width="13" customWidth="1" min="14" max="14"/>
    <col width="18" customWidth="1" min="15" max="15"/>
    <col width="14" customWidth="1" min="16" max="16"/>
    <col width="14" customWidth="1" min="17" max="17"/>
    <col width="18" customWidth="1" min="18" max="18"/>
    <col width="27" customWidth="1" min="19" max="19"/>
  </cols>
  <sheetData>
    <row r="1" ht="28" customHeight="1">
      <c r="A1" s="1" t="inlineStr">
        <is>
          <t>Refrigerant Usage Entries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>
      <c r="A2" s="3" t="inlineStr">
        <is>
          <t>Enter records in transaction order so each cylinder balance reflects the entries above it.</t>
        </is>
      </c>
    </row>
    <row r="3">
      <c r="A3" s="3" t="inlineStr">
        <is>
          <t>Orange cells are user inputs. Calculated checks request human review.</t>
        </is>
      </c>
    </row>
    <row r="4"/>
    <row r="5" ht="32" customHeight="1">
      <c r="A5" s="17" t="inlineStr">
        <is>
          <t>Date</t>
        </is>
      </c>
      <c r="B5" s="17" t="inlineStr">
        <is>
          <t>Cylinder ID</t>
        </is>
      </c>
      <c r="C5" s="17" t="inlineStr">
        <is>
          <t>Refrigerant</t>
        </is>
      </c>
      <c r="D5" s="17" t="inlineStr">
        <is>
          <t>Technician</t>
        </is>
      </c>
      <c r="E5" s="17" t="inlineStr">
        <is>
          <t>Customer</t>
        </is>
      </c>
      <c r="F5" s="17" t="inlineStr">
        <is>
          <t>Job #</t>
        </is>
      </c>
      <c r="G5" s="17" t="inlineStr">
        <is>
          <t>Equipment</t>
        </is>
      </c>
      <c r="H5" s="17" t="inlineStr">
        <is>
          <t>Description</t>
        </is>
      </c>
      <c r="I5" s="17" t="inlineStr">
        <is>
          <t>Qty Issued</t>
        </is>
      </c>
      <c r="J5" s="17" t="inlineStr">
        <is>
          <t>Qty Used</t>
        </is>
      </c>
      <c r="K5" s="17" t="inlineStr">
        <is>
          <t>Qty Returned</t>
        </is>
      </c>
      <c r="L5" s="17" t="inlineStr">
        <is>
          <t>Unit</t>
        </is>
      </c>
      <c r="M5" s="17" t="inlineStr">
        <is>
          <t>Unit Cost</t>
        </is>
      </c>
      <c r="N5" s="17" t="inlineStr">
        <is>
          <t>Usage Cost</t>
        </is>
      </c>
      <c r="O5" s="17" t="inlineStr">
        <is>
          <t>Responsibility</t>
        </is>
      </c>
      <c r="P5" s="17" t="inlineStr">
        <is>
          <t>Job Status</t>
        </is>
      </c>
      <c r="Q5" s="17" t="inlineStr">
        <is>
          <t>Record Status</t>
        </is>
      </c>
      <c r="R5" s="17" t="inlineStr">
        <is>
          <t>Balance After Entry</t>
        </is>
      </c>
      <c r="S5" s="17" t="inlineStr">
        <is>
          <t>Check</t>
        </is>
      </c>
    </row>
    <row r="6" ht="30" customHeight="1">
      <c r="A6" s="18" t="n">
        <v>46257</v>
      </c>
      <c r="B6" s="19" t="inlineStr">
        <is>
          <t>DEMO-CYL-001</t>
        </is>
      </c>
      <c r="C6" s="20">
        <f>IF(B6="","",IFERROR(VLOOKUP(B6,Cylinders!$A$6:$J$105,2,FALSE),"CHECK CYLINDER"))</f>
        <v/>
      </c>
      <c r="D6" s="19" t="inlineStr">
        <is>
          <t>Alex Rowan (Fictional)</t>
        </is>
      </c>
      <c r="E6" s="21" t="inlineStr">
        <is>
          <t>Fictional Acorn Market</t>
        </is>
      </c>
      <c r="F6" s="19" t="inlineStr">
        <is>
          <t>DEMO-JOB-001</t>
        </is>
      </c>
      <c r="G6" s="21" t="inlineStr">
        <is>
          <t>Demo RTU-1</t>
        </is>
      </c>
      <c r="H6" s="21" t="inlineStr">
        <is>
          <t>Cooling service refrigerant entry</t>
        </is>
      </c>
      <c r="I6" s="22" t="n">
        <v>5</v>
      </c>
      <c r="J6" s="22" t="n">
        <v>5</v>
      </c>
      <c r="K6" s="22" t="n">
        <v>0</v>
      </c>
      <c r="L6" s="23">
        <f>IF(B6="","","lb")</f>
        <v/>
      </c>
      <c r="M6" s="11">
        <f>IF(B6="","",IFERROR(VLOOKUP(B6,Cylinders!$A$6:$J$105,5,FALSE),""))</f>
        <v/>
      </c>
      <c r="N6" s="11">
        <f>IF(OR(B6="",Q6="Voided"),"",IF(COUNT(J6,M6)&lt;2,"",IFERROR(J6*M6,"")))</f>
        <v/>
      </c>
      <c r="O6" s="19" t="inlineStr">
        <is>
          <t>Customer</t>
        </is>
      </c>
      <c r="P6" s="19" t="inlineStr">
        <is>
          <t>Complete</t>
        </is>
      </c>
      <c r="Q6" s="19" t="inlineStr">
        <is>
          <t>Reviewed</t>
        </is>
      </c>
      <c r="R6" s="24">
        <f>IF(B6="","",IFERROR(VLOOKUP(B6,Cylinders!$A$6:$J$105,4,FALSE)-SUMIFS($I$6:I6,$B$6:B6,B6,$Q$6:Q6,"&lt;&gt;Voided")+SUMIFS($K$6:K6,$B$6:B6,B6,$Q$6:Q6,"&lt;&gt;Voided"),""))</f>
        <v/>
      </c>
      <c r="S6" s="23">
        <f>IF(B6="","",IF(OR(A6="",D6="",Q6=""),"CHECK REQUIRED INPUTS",IF(C6="CHECK CYLINDER","CHECK CYLINDER",IF(Q6="Voided","VOIDED",IF(COUNT(I6:K6)&lt;3,"CHECK QUANTITIES",IF(ABS(I6-J6-K6)&gt;Assumptions!$B$7,"CHECK QUANTITIES",IF(R6&lt;0,"CHECK NEGATIVE BALANCE",IF(R6&lt;IFERROR(VLOOKUP(B6,Cylinders!$A$6:$J$105,4,FALSE),0)*Assumptions!$B$6,"CHECK LOW BALANCE","OK")))))))</f>
        <v/>
      </c>
    </row>
    <row r="7" ht="30" customHeight="1">
      <c r="A7" s="18" t="n">
        <v>46259</v>
      </c>
      <c r="B7" s="19" t="inlineStr">
        <is>
          <t>DEMO-CYL-002</t>
        </is>
      </c>
      <c r="C7" s="25">
        <f>IF(B7="","",IFERROR(VLOOKUP(B7,Cylinders!$A$6:$J$105,2,FALSE),"CHECK CYLINDER"))</f>
        <v/>
      </c>
      <c r="D7" s="19" t="inlineStr">
        <is>
          <t>Jordan Vale (Fictional)</t>
        </is>
      </c>
      <c r="E7" s="21" t="inlineStr">
        <is>
          <t>Fictional Bluebird Clinic</t>
        </is>
      </c>
      <c r="F7" s="19" t="inlineStr">
        <is>
          <t>DEMO-JOB-002</t>
        </is>
      </c>
      <c r="G7" s="21" t="inlineStr">
        <is>
          <t>Demo Split-2</t>
        </is>
      </c>
      <c r="H7" s="21" t="inlineStr">
        <is>
          <t>Service refrigerant issue and return</t>
        </is>
      </c>
      <c r="I7" s="22" t="n">
        <v>8</v>
      </c>
      <c r="J7" s="22" t="n">
        <v>7.5</v>
      </c>
      <c r="K7" s="22" t="n">
        <v>0.5</v>
      </c>
      <c r="L7" s="26">
        <f>IF(B7="","","lb")</f>
        <v/>
      </c>
      <c r="M7" s="27">
        <f>IF(B7="","",IFERROR(VLOOKUP(B7,Cylinders!$A$6:$J$105,5,FALSE),""))</f>
        <v/>
      </c>
      <c r="N7" s="27">
        <f>IF(OR(B7="",Q7="Voided"),"",IF(COUNT(J7,M7)&lt;2,"",IFERROR(J7*M7,"")))</f>
        <v/>
      </c>
      <c r="O7" s="19" t="inlineStr">
        <is>
          <t>Company</t>
        </is>
      </c>
      <c r="P7" s="19" t="inlineStr">
        <is>
          <t>Complete</t>
        </is>
      </c>
      <c r="Q7" s="19" t="inlineStr">
        <is>
          <t>Reviewed</t>
        </is>
      </c>
      <c r="R7" s="28">
        <f>IF(B7="","",IFERROR(VLOOKUP(B7,Cylinders!$A$6:$J$105,4,FALSE)-SUMIFS($I$6:I7,$B$6:B7,B7,$Q$6:Q7,"&lt;&gt;Voided")+SUMIFS($K$6:K7,$B$6:B7,B7,$Q$6:Q7,"&lt;&gt;Voided"),""))</f>
        <v/>
      </c>
      <c r="S7" s="26">
        <f>IF(B7="","",IF(OR(A7="",D7="",Q7=""),"CHECK REQUIRED INPUTS",IF(C7="CHECK CYLINDER","CHECK CYLINDER",IF(Q7="Voided","VOIDED",IF(COUNT(I7:K7)&lt;3,"CHECK QUANTITIES",IF(ABS(I7-J7-K7)&gt;Assumptions!$B$7,"CHECK QUANTITIES",IF(R7&lt;0,"CHECK NEGATIVE BALANCE",IF(R7&lt;IFERROR(VLOOKUP(B7,Cylinders!$A$6:$J$105,4,FALSE),0)*Assumptions!$B$6,"CHECK LOW BALANCE","OK")))))))</f>
        <v/>
      </c>
    </row>
    <row r="8" ht="30" customHeight="1">
      <c r="A8" s="18" t="n">
        <v>46261</v>
      </c>
      <c r="B8" s="19" t="inlineStr">
        <is>
          <t>DEMO-CYL-003</t>
        </is>
      </c>
      <c r="C8" s="20">
        <f>IF(B8="","",IFERROR(VLOOKUP(B8,Cylinders!$A$6:$J$105,2,FALSE),"CHECK CYLINDER"))</f>
        <v/>
      </c>
      <c r="D8" s="19" t="inlineStr">
        <is>
          <t>Casey North (Fictional)</t>
        </is>
      </c>
      <c r="E8" s="21" t="inlineStr">
        <is>
          <t>Fictional Copper Kettle Cafe</t>
        </is>
      </c>
      <c r="F8" s="19" t="inlineStr">
        <is>
          <t>DEMO-JOB-003</t>
        </is>
      </c>
      <c r="G8" s="21" t="inlineStr">
        <is>
          <t>Demo Heat Pump-3</t>
        </is>
      </c>
      <c r="H8" s="21" t="inlineStr">
        <is>
          <t>Refrigerant used during service</t>
        </is>
      </c>
      <c r="I8" s="22" t="n">
        <v>6.5</v>
      </c>
      <c r="J8" s="22" t="n">
        <v>6.5</v>
      </c>
      <c r="K8" s="22" t="n">
        <v>0</v>
      </c>
      <c r="L8" s="23">
        <f>IF(B8="","","lb")</f>
        <v/>
      </c>
      <c r="M8" s="11">
        <f>IF(B8="","",IFERROR(VLOOKUP(B8,Cylinders!$A$6:$J$105,5,FALSE),""))</f>
        <v/>
      </c>
      <c r="N8" s="11">
        <f>IF(OR(B8="",Q8="Voided"),"",IF(COUNT(J8,M8)&lt;2,"",IFERROR(J8*M8,"")))</f>
        <v/>
      </c>
      <c r="O8" s="19" t="inlineStr">
        <is>
          <t>Customer</t>
        </is>
      </c>
      <c r="P8" s="19" t="inlineStr">
        <is>
          <t>Follow-up</t>
        </is>
      </c>
      <c r="Q8" s="19" t="inlineStr">
        <is>
          <t>Reviewed</t>
        </is>
      </c>
      <c r="R8" s="24">
        <f>IF(B8="","",IFERROR(VLOOKUP(B8,Cylinders!$A$6:$J$105,4,FALSE)-SUMIFS($I$6:I8,$B$6:B8,B8,$Q$6:Q8,"&lt;&gt;Voided")+SUMIFS($K$6:K8,$B$6:B8,B8,$Q$6:Q8,"&lt;&gt;Voided"),""))</f>
        <v/>
      </c>
      <c r="S8" s="23">
        <f>IF(B8="","",IF(OR(A8="",D8="",Q8=""),"CHECK REQUIRED INPUTS",IF(C8="CHECK CYLINDER","CHECK CYLINDER",IF(Q8="Voided","VOIDED",IF(COUNT(I8:K8)&lt;3,"CHECK QUANTITIES",IF(ABS(I8-J8-K8)&gt;Assumptions!$B$7,"CHECK QUANTITIES",IF(R8&lt;0,"CHECK NEGATIVE BALANCE",IF(R8&lt;IFERROR(VLOOKUP(B8,Cylinders!$A$6:$J$105,4,FALSE),0)*Assumptions!$B$6,"CHECK LOW BALANCE","OK")))))))</f>
        <v/>
      </c>
    </row>
    <row r="9" ht="30" customHeight="1">
      <c r="A9" s="18" t="n">
        <v>46263</v>
      </c>
      <c r="B9" s="19" t="inlineStr">
        <is>
          <t>DEMO-CYL-004</t>
        </is>
      </c>
      <c r="C9" s="25">
        <f>IF(B9="","",IFERROR(VLOOKUP(B9,Cylinders!$A$6:$J$105,2,FALSE),"CHECK CYLINDER"))</f>
        <v/>
      </c>
      <c r="D9" s="19" t="inlineStr">
        <is>
          <t>Taylor Finch (Fictional)</t>
        </is>
      </c>
      <c r="E9" s="21" t="inlineStr">
        <is>
          <t>Fictional Driftwood Offices</t>
        </is>
      </c>
      <c r="F9" s="19" t="inlineStr">
        <is>
          <t>DEMO-JOB-004</t>
        </is>
      </c>
      <c r="G9" s="21" t="inlineStr">
        <is>
          <t>Demo Package Unit-4</t>
        </is>
      </c>
      <c r="H9" s="21" t="inlineStr">
        <is>
          <t>Recorded refrigerant used</t>
        </is>
      </c>
      <c r="I9" s="22" t="n">
        <v>2</v>
      </c>
      <c r="J9" s="22" t="n">
        <v>2</v>
      </c>
      <c r="K9" s="22" t="n">
        <v>0</v>
      </c>
      <c r="L9" s="26">
        <f>IF(B9="","","lb")</f>
        <v/>
      </c>
      <c r="M9" s="27">
        <f>IF(B9="","",IFERROR(VLOOKUP(B9,Cylinders!$A$6:$J$105,5,FALSE),""))</f>
        <v/>
      </c>
      <c r="N9" s="27">
        <f>IF(OR(B9="",Q9="Voided"),"",IF(COUNT(J9,M9)&lt;2,"",IFERROR(J9*M9,"")))</f>
        <v/>
      </c>
      <c r="O9" s="19" t="inlineStr">
        <is>
          <t>Warranty Review</t>
        </is>
      </c>
      <c r="P9" s="19" t="inlineStr">
        <is>
          <t>Complete</t>
        </is>
      </c>
      <c r="Q9" s="19" t="inlineStr">
        <is>
          <t>Reviewed</t>
        </is>
      </c>
      <c r="R9" s="28">
        <f>IF(B9="","",IFERROR(VLOOKUP(B9,Cylinders!$A$6:$J$105,4,FALSE)-SUMIFS($I$6:I9,$B$6:B9,B9,$Q$6:Q9,"&lt;&gt;Voided")+SUMIFS($K$6:K9,$B$6:B9,B9,$Q$6:Q9,"&lt;&gt;Voided"),""))</f>
        <v/>
      </c>
      <c r="S9" s="26">
        <f>IF(B9="","",IF(OR(A9="",D9="",Q9=""),"CHECK REQUIRED INPUTS",IF(C9="CHECK CYLINDER","CHECK CYLINDER",IF(Q9="Voided","VOIDED",IF(COUNT(I9:K9)&lt;3,"CHECK QUANTITIES",IF(ABS(I9-J9-K9)&gt;Assumptions!$B$7,"CHECK QUANTITIES",IF(R9&lt;0,"CHECK NEGATIVE BALANCE",IF(R9&lt;IFERROR(VLOOKUP(B9,Cylinders!$A$6:$J$105,4,FALSE),0)*Assumptions!$B$6,"CHECK LOW BALANCE","OK")))))))</f>
        <v/>
      </c>
    </row>
    <row r="10" ht="30" customHeight="1">
      <c r="A10" s="18" t="n">
        <v>46265</v>
      </c>
      <c r="B10" s="19" t="inlineStr">
        <is>
          <t>DEMO-CYL-005</t>
        </is>
      </c>
      <c r="C10" s="20">
        <f>IF(B10="","",IFERROR(VLOOKUP(B10,Cylinders!$A$6:$J$105,2,FALSE),"CHECK CYLINDER"))</f>
        <v/>
      </c>
      <c r="D10" s="19" t="inlineStr">
        <is>
          <t>Morgan Pine (Fictional)</t>
        </is>
      </c>
      <c r="E10" s="21" t="inlineStr">
        <is>
          <t>Fictional Elm Street Bakery</t>
        </is>
      </c>
      <c r="F10" s="19" t="inlineStr">
        <is>
          <t>DEMO-JOB-005</t>
        </is>
      </c>
      <c r="G10" s="21" t="inlineStr">
        <is>
          <t>Demo Cooler-5</t>
        </is>
      </c>
      <c r="H10" s="21" t="inlineStr">
        <is>
          <t>Issue with unused quantity returned</t>
        </is>
      </c>
      <c r="I10" s="22" t="n">
        <v>10</v>
      </c>
      <c r="J10" s="22" t="n">
        <v>9</v>
      </c>
      <c r="K10" s="22" t="n">
        <v>1</v>
      </c>
      <c r="L10" s="23">
        <f>IF(B10="","","lb")</f>
        <v/>
      </c>
      <c r="M10" s="11">
        <f>IF(B10="","",IFERROR(VLOOKUP(B10,Cylinders!$A$6:$J$105,5,FALSE),""))</f>
        <v/>
      </c>
      <c r="N10" s="11">
        <f>IF(OR(B10="",Q10="Voided"),"",IF(COUNT(J10,M10)&lt;2,"",IFERROR(J10*M10,"")))</f>
        <v/>
      </c>
      <c r="O10" s="19" t="inlineStr">
        <is>
          <t>Customer</t>
        </is>
      </c>
      <c r="P10" s="19" t="inlineStr">
        <is>
          <t>Complete</t>
        </is>
      </c>
      <c r="Q10" s="19" t="inlineStr">
        <is>
          <t>Reviewed</t>
        </is>
      </c>
      <c r="R10" s="24">
        <f>IF(B10="","",IFERROR(VLOOKUP(B10,Cylinders!$A$6:$J$105,4,FALSE)-SUMIFS($I$6:I10,$B$6:B10,B10,$Q$6:Q10,"&lt;&gt;Voided")+SUMIFS($K$6:K10,$B$6:B10,B10,$Q$6:Q10,"&lt;&gt;Voided"),""))</f>
        <v/>
      </c>
      <c r="S10" s="23">
        <f>IF(B10="","",IF(OR(A10="",D10="",Q10=""),"CHECK REQUIRED INPUTS",IF(C10="CHECK CYLINDER","CHECK CYLINDER",IF(Q10="Voided","VOIDED",IF(COUNT(I10:K10)&lt;3,"CHECK QUANTITIES",IF(ABS(I10-J10-K10)&gt;Assumptions!$B$7,"CHECK QUANTITIES",IF(R10&lt;0,"CHECK NEGATIVE BALANCE",IF(R10&lt;IFERROR(VLOOKUP(B10,Cylinders!$A$6:$J$105,4,FALSE),0)*Assumptions!$B$6,"CHECK LOW BALANCE","OK")))))))</f>
        <v/>
      </c>
    </row>
    <row r="11" ht="30" customHeight="1">
      <c r="A11" s="18" t="n">
        <v>46267</v>
      </c>
      <c r="B11" s="19" t="inlineStr">
        <is>
          <t>DEMO-CYL-006</t>
        </is>
      </c>
      <c r="C11" s="25">
        <f>IF(B11="","",IFERROR(VLOOKUP(B11,Cylinders!$A$6:$J$105,2,FALSE),"CHECK CYLINDER"))</f>
        <v/>
      </c>
      <c r="D11" s="19" t="inlineStr">
        <is>
          <t>Riley Ember (Fictional)</t>
        </is>
      </c>
      <c r="E11" s="21" t="inlineStr">
        <is>
          <t>Fictional Foxglove Studio</t>
        </is>
      </c>
      <c r="F11" s="19" t="inlineStr">
        <is>
          <t>DEMO-JOB-006</t>
        </is>
      </c>
      <c r="G11" s="21" t="inlineStr">
        <is>
          <t>Demo Air Handler-6</t>
        </is>
      </c>
      <c r="H11" s="21" t="inlineStr">
        <is>
          <t>Service refrigerant entry</t>
        </is>
      </c>
      <c r="I11" s="22" t="n">
        <v>4</v>
      </c>
      <c r="J11" s="22" t="n">
        <v>4</v>
      </c>
      <c r="K11" s="22" t="n">
        <v>0</v>
      </c>
      <c r="L11" s="26">
        <f>IF(B11="","","lb")</f>
        <v/>
      </c>
      <c r="M11" s="27">
        <f>IF(B11="","",IFERROR(VLOOKUP(B11,Cylinders!$A$6:$J$105,5,FALSE),""))</f>
        <v/>
      </c>
      <c r="N11" s="27">
        <f>IF(OR(B11="",Q11="Voided"),"",IF(COUNT(J11,M11)&lt;2,"",IFERROR(J11*M11,"")))</f>
        <v/>
      </c>
      <c r="O11" s="19" t="inlineStr">
        <is>
          <t>Company</t>
        </is>
      </c>
      <c r="P11" s="19" t="inlineStr">
        <is>
          <t>In Progress</t>
        </is>
      </c>
      <c r="Q11" s="19" t="inlineStr">
        <is>
          <t>Reviewed</t>
        </is>
      </c>
      <c r="R11" s="28">
        <f>IF(B11="","",IFERROR(VLOOKUP(B11,Cylinders!$A$6:$J$105,4,FALSE)-SUMIFS($I$6:I11,$B$6:B11,B11,$Q$6:Q11,"&lt;&gt;Voided")+SUMIFS($K$6:K11,$B$6:B11,B11,$Q$6:Q11,"&lt;&gt;Voided"),""))</f>
        <v/>
      </c>
      <c r="S11" s="26">
        <f>IF(B11="","",IF(OR(A11="",D11="",Q11=""),"CHECK REQUIRED INPUTS",IF(C11="CHECK CYLINDER","CHECK CYLINDER",IF(Q11="Voided","VOIDED",IF(COUNT(I11:K11)&lt;3,"CHECK QUANTITIES",IF(ABS(I11-J11-K11)&gt;Assumptions!$B$7,"CHECK QUANTITIES",IF(R11&lt;0,"CHECK NEGATIVE BALANCE",IF(R11&lt;IFERROR(VLOOKUP(B11,Cylinders!$A$6:$J$105,4,FALSE),0)*Assumptions!$B$6,"CHECK LOW BALANCE","OK")))))))</f>
        <v/>
      </c>
    </row>
    <row r="12" ht="30" customHeight="1">
      <c r="A12" s="18" t="n">
        <v>46269</v>
      </c>
      <c r="B12" s="19" t="inlineStr">
        <is>
          <t>DEMO-CYL-007</t>
        </is>
      </c>
      <c r="C12" s="20">
        <f>IF(B12="","",IFERROR(VLOOKUP(B12,Cylinders!$A$6:$J$105,2,FALSE),"CHECK CYLINDER"))</f>
        <v/>
      </c>
      <c r="D12" s="19" t="inlineStr">
        <is>
          <t>Sam Harbor (Fictional)</t>
        </is>
      </c>
      <c r="E12" s="21" t="inlineStr">
        <is>
          <t>Fictional Granite Library</t>
        </is>
      </c>
      <c r="F12" s="19" t="inlineStr">
        <is>
          <t>DEMO-JOB-007</t>
        </is>
      </c>
      <c r="G12" s="21" t="inlineStr">
        <is>
          <t>Demo Freezer-7</t>
        </is>
      </c>
      <c r="H12" s="21" t="inlineStr">
        <is>
          <t>Cylinder quantity fully issued and used</t>
        </is>
      </c>
      <c r="I12" s="22" t="n">
        <v>15</v>
      </c>
      <c r="J12" s="22" t="n">
        <v>15</v>
      </c>
      <c r="K12" s="22" t="n">
        <v>0</v>
      </c>
      <c r="L12" s="23">
        <f>IF(B12="","","lb")</f>
        <v/>
      </c>
      <c r="M12" s="11">
        <f>IF(B12="","",IFERROR(VLOOKUP(B12,Cylinders!$A$6:$J$105,5,FALSE),""))</f>
        <v/>
      </c>
      <c r="N12" s="11">
        <f>IF(OR(B12="",Q12="Voided"),"",IF(COUNT(J12,M12)&lt;2,"",IFERROR(J12*M12,"")))</f>
        <v/>
      </c>
      <c r="O12" s="19" t="inlineStr">
        <is>
          <t>Customer</t>
        </is>
      </c>
      <c r="P12" s="19" t="inlineStr">
        <is>
          <t>Complete</t>
        </is>
      </c>
      <c r="Q12" s="19" t="inlineStr">
        <is>
          <t>Reviewed</t>
        </is>
      </c>
      <c r="R12" s="24">
        <f>IF(B12="","",IFERROR(VLOOKUP(B12,Cylinders!$A$6:$J$105,4,FALSE)-SUMIFS($I$6:I12,$B$6:B12,B12,$Q$6:Q12,"&lt;&gt;Voided")+SUMIFS($K$6:K12,$B$6:B12,B12,$Q$6:Q12,"&lt;&gt;Voided"),""))</f>
        <v/>
      </c>
      <c r="S12" s="23">
        <f>IF(B12="","",IF(OR(A12="",D12="",Q12=""),"CHECK REQUIRED INPUTS",IF(C12="CHECK CYLINDER","CHECK CYLINDER",IF(Q12="Voided","VOIDED",IF(COUNT(I12:K12)&lt;3,"CHECK QUANTITIES",IF(ABS(I12-J12-K12)&gt;Assumptions!$B$7,"CHECK QUANTITIES",IF(R12&lt;0,"CHECK NEGATIVE BALANCE",IF(R12&lt;IFERROR(VLOOKUP(B12,Cylinders!$A$6:$J$105,4,FALSE),0)*Assumptions!$B$6,"CHECK LOW BALANCE","OK")))))))</f>
        <v/>
      </c>
    </row>
    <row r="13" ht="30" customHeight="1">
      <c r="A13" s="18" t="n">
        <v>46271</v>
      </c>
      <c r="B13" s="19" t="inlineStr">
        <is>
          <t>DEMO-CYL-008</t>
        </is>
      </c>
      <c r="C13" s="25">
        <f>IF(B13="","",IFERROR(VLOOKUP(B13,Cylinders!$A$6:$J$105,2,FALSE),"CHECK CYLINDER"))</f>
        <v/>
      </c>
      <c r="D13" s="19" t="inlineStr">
        <is>
          <t>Jamie Frost (Fictional)</t>
        </is>
      </c>
      <c r="E13" s="21" t="inlineStr">
        <is>
          <t>Fictional Harbor Workshop</t>
        </is>
      </c>
      <c r="F13" s="19" t="inlineStr">
        <is>
          <t>DEMO-JOB-008</t>
        </is>
      </c>
      <c r="G13" s="21" t="inlineStr">
        <is>
          <t>Demo Mobile AC-8</t>
        </is>
      </c>
      <c r="H13" s="21" t="inlineStr">
        <is>
          <t>Boundary quantity with return</t>
        </is>
      </c>
      <c r="I13" s="22" t="n">
        <v>3</v>
      </c>
      <c r="J13" s="22" t="n">
        <v>2.95</v>
      </c>
      <c r="K13" s="22" t="n">
        <v>0.05</v>
      </c>
      <c r="L13" s="26">
        <f>IF(B13="","","lb")</f>
        <v/>
      </c>
      <c r="M13" s="27">
        <f>IF(B13="","",IFERROR(VLOOKUP(B13,Cylinders!$A$6:$J$105,5,FALSE),""))</f>
        <v/>
      </c>
      <c r="N13" s="27">
        <f>IF(OR(B13="",Q13="Voided"),"",IF(COUNT(J13,M13)&lt;2,"",IFERROR(J13*M13,"")))</f>
        <v/>
      </c>
      <c r="O13" s="19" t="inlineStr">
        <is>
          <t>Company</t>
        </is>
      </c>
      <c r="P13" s="19" t="inlineStr">
        <is>
          <t>Complete</t>
        </is>
      </c>
      <c r="Q13" s="19" t="inlineStr">
        <is>
          <t>Draft</t>
        </is>
      </c>
      <c r="R13" s="28">
        <f>IF(B13="","",IFERROR(VLOOKUP(B13,Cylinders!$A$6:$J$105,4,FALSE)-SUMIFS($I$6:I13,$B$6:B13,B13,$Q$6:Q13,"&lt;&gt;Voided")+SUMIFS($K$6:K13,$B$6:B13,B13,$Q$6:Q13,"&lt;&gt;Voided"),""))</f>
        <v/>
      </c>
      <c r="S13" s="26">
        <f>IF(B13="","",IF(OR(A13="",D13="",Q13=""),"CHECK REQUIRED INPUTS",IF(C13="CHECK CYLINDER","CHECK CYLINDER",IF(Q13="Voided","VOIDED",IF(COUNT(I13:K13)&lt;3,"CHECK QUANTITIES",IF(ABS(I13-J13-K13)&gt;Assumptions!$B$7,"CHECK QUANTITIES",IF(R13&lt;0,"CHECK NEGATIVE BALANCE",IF(R13&lt;IFERROR(VLOOKUP(B13,Cylinders!$A$6:$J$105,4,FALSE),0)*Assumptions!$B$6,"CHECK LOW BALANCE","OK")))))))</f>
        <v/>
      </c>
    </row>
    <row r="14" ht="30" customHeight="1">
      <c r="A14" s="18" t="n">
        <v>46273</v>
      </c>
      <c r="B14" s="19" t="inlineStr">
        <is>
          <t>DEMO-CYL-001</t>
        </is>
      </c>
      <c r="C14" s="20">
        <f>IF(B14="","",IFERROR(VLOOKUP(B14,Cylinders!$A$6:$J$105,2,FALSE),"CHECK CYLINDER"))</f>
        <v/>
      </c>
      <c r="D14" s="19" t="inlineStr">
        <is>
          <t>Alex Rowan (Fictional)</t>
        </is>
      </c>
      <c r="E14" s="21" t="inlineStr">
        <is>
          <t>Fictional Indigo Test Site</t>
        </is>
      </c>
      <c r="F14" s="19" t="inlineStr">
        <is>
          <t>DEMO-JOB-009</t>
        </is>
      </c>
      <c r="G14" s="21" t="inlineStr">
        <is>
          <t>Demo Split-9</t>
        </is>
      </c>
      <c r="H14" s="21" t="inlineStr">
        <is>
          <t>Additional refrigerant used</t>
        </is>
      </c>
      <c r="I14" s="22" t="n">
        <v>2</v>
      </c>
      <c r="J14" s="22" t="n">
        <v>2</v>
      </c>
      <c r="K14" s="22" t="n">
        <v>0</v>
      </c>
      <c r="L14" s="23">
        <f>IF(B14="","","lb")</f>
        <v/>
      </c>
      <c r="M14" s="11">
        <f>IF(B14="","",IFERROR(VLOOKUP(B14,Cylinders!$A$6:$J$105,5,FALSE),""))</f>
        <v/>
      </c>
      <c r="N14" s="11">
        <f>IF(OR(B14="",Q14="Voided"),"",IF(COUNT(J14,M14)&lt;2,"",IFERROR(J14*M14,"")))</f>
        <v/>
      </c>
      <c r="O14" s="19" t="inlineStr">
        <is>
          <t>Customer</t>
        </is>
      </c>
      <c r="P14" s="19" t="inlineStr">
        <is>
          <t>Complete</t>
        </is>
      </c>
      <c r="Q14" s="19" t="inlineStr">
        <is>
          <t>Reviewed</t>
        </is>
      </c>
      <c r="R14" s="24">
        <f>IF(B14="","",IFERROR(VLOOKUP(B14,Cylinders!$A$6:$J$105,4,FALSE)-SUMIFS($I$6:I14,$B$6:B14,B14,$Q$6:Q14,"&lt;&gt;Voided")+SUMIFS($K$6:K14,$B$6:B14,B14,$Q$6:Q14,"&lt;&gt;Voided"),""))</f>
        <v/>
      </c>
      <c r="S14" s="23">
        <f>IF(B14="","",IF(OR(A14="",D14="",Q14=""),"CHECK REQUIRED INPUTS",IF(C14="CHECK CYLINDER","CHECK CYLINDER",IF(Q14="Voided","VOIDED",IF(COUNT(I14:K14)&lt;3,"CHECK QUANTITIES",IF(ABS(I14-J14-K14)&gt;Assumptions!$B$7,"CHECK QUANTITIES",IF(R14&lt;0,"CHECK NEGATIVE BALANCE",IF(R14&lt;IFERROR(VLOOKUP(B14,Cylinders!$A$6:$J$105,4,FALSE),0)*Assumptions!$B$6,"CHECK LOW BALANCE","OK")))))))</f>
        <v/>
      </c>
    </row>
    <row r="15" ht="30" customHeight="1">
      <c r="A15" s="18" t="n">
        <v>46275</v>
      </c>
      <c r="B15" s="19" t="inlineStr">
        <is>
          <t>DEMO-CYL-003</t>
        </is>
      </c>
      <c r="C15" s="25">
        <f>IF(B15="","",IFERROR(VLOOKUP(B15,Cylinders!$A$6:$J$105,2,FALSE),"CHECK CYLINDER"))</f>
        <v/>
      </c>
      <c r="D15" s="19" t="inlineStr">
        <is>
          <t>Casey North (Fictional)</t>
        </is>
      </c>
      <c r="E15" s="21" t="inlineStr">
        <is>
          <t>Fictional Juniper Retail</t>
        </is>
      </c>
      <c r="F15" s="19" t="inlineStr">
        <is>
          <t>DEMO-JOB-010</t>
        </is>
      </c>
      <c r="G15" s="21" t="inlineStr">
        <is>
          <t>Demo RTU-10</t>
        </is>
      </c>
      <c r="H15" s="21" t="inlineStr">
        <is>
          <t>Voided fictional test entry</t>
        </is>
      </c>
      <c r="I15" s="22" t="n">
        <v>1</v>
      </c>
      <c r="J15" s="22" t="n">
        <v>1</v>
      </c>
      <c r="K15" s="22" t="n">
        <v>0</v>
      </c>
      <c r="L15" s="26">
        <f>IF(B15="","","lb")</f>
        <v/>
      </c>
      <c r="M15" s="27">
        <f>IF(B15="","",IFERROR(VLOOKUP(B15,Cylinders!$A$6:$J$105,5,FALSE),""))</f>
        <v/>
      </c>
      <c r="N15" s="27">
        <f>IF(OR(B15="",Q15="Voided"),"",IF(COUNT(J15,M15)&lt;2,"",IFERROR(J15*M15,"")))</f>
        <v/>
      </c>
      <c r="O15" s="19" t="inlineStr">
        <is>
          <t>Company</t>
        </is>
      </c>
      <c r="P15" s="19" t="inlineStr">
        <is>
          <t>Scheduled</t>
        </is>
      </c>
      <c r="Q15" s="19" t="inlineStr">
        <is>
          <t>Voided</t>
        </is>
      </c>
      <c r="R15" s="28">
        <f>IF(B15="","",IFERROR(VLOOKUP(B15,Cylinders!$A$6:$J$105,4,FALSE)-SUMIFS($I$6:I15,$B$6:B15,B15,$Q$6:Q15,"&lt;&gt;Voided")+SUMIFS($K$6:K15,$B$6:B15,B15,$Q$6:Q15,"&lt;&gt;Voided"),""))</f>
        <v/>
      </c>
      <c r="S15" s="26">
        <f>IF(B15="","",IF(OR(A15="",D15="",Q15=""),"CHECK REQUIRED INPUTS",IF(C15="CHECK CYLINDER","CHECK CYLINDER",IF(Q15="Voided","VOIDED",IF(COUNT(I15:K15)&lt;3,"CHECK QUANTITIES",IF(ABS(I15-J15-K15)&gt;Assumptions!$B$7,"CHECK QUANTITIES",IF(R15&lt;0,"CHECK NEGATIVE BALANCE",IF(R15&lt;IFERROR(VLOOKUP(B15,Cylinders!$A$6:$J$105,4,FALSE),0)*Assumptions!$B$6,"CHECK LOW BALANCE","OK")))))))</f>
        <v/>
      </c>
    </row>
    <row r="16" ht="30" customHeight="1">
      <c r="A16" s="18" t="n"/>
      <c r="B16" s="19" t="n"/>
      <c r="C16" s="20">
        <f>IF(B16="","",IFERROR(VLOOKUP(B16,Cylinders!$A$6:$J$105,2,FALSE),"CHECK CYLINDER"))</f>
        <v/>
      </c>
      <c r="D16" s="19" t="n"/>
      <c r="E16" s="21" t="n"/>
      <c r="F16" s="19" t="n"/>
      <c r="G16" s="21" t="n"/>
      <c r="H16" s="21" t="n"/>
      <c r="I16" s="22" t="n"/>
      <c r="J16" s="22" t="n"/>
      <c r="K16" s="22" t="n"/>
      <c r="L16" s="23">
        <f>IF(B16="","","lb")</f>
        <v/>
      </c>
      <c r="M16" s="11">
        <f>IF(B16="","",IFERROR(VLOOKUP(B16,Cylinders!$A$6:$J$105,5,FALSE),""))</f>
        <v/>
      </c>
      <c r="N16" s="11">
        <f>IF(OR(B16="",Q16="Voided"),"",IF(COUNT(J16,M16)&lt;2,"",IFERROR(J16*M16,"")))</f>
        <v/>
      </c>
      <c r="O16" s="19" t="n"/>
      <c r="P16" s="19" t="n"/>
      <c r="Q16" s="19" t="n"/>
      <c r="R16" s="24">
        <f>IF(B16="","",IFERROR(VLOOKUP(B16,Cylinders!$A$6:$J$105,4,FALSE)-SUMIFS($I$6:I16,$B$6:B16,B16,$Q$6:Q16,"&lt;&gt;Voided")+SUMIFS($K$6:K16,$B$6:B16,B16,$Q$6:Q16,"&lt;&gt;Voided"),""))</f>
        <v/>
      </c>
      <c r="S16" s="23">
        <f>IF(B16="","",IF(OR(A16="",D16="",Q16=""),"CHECK REQUIRED INPUTS",IF(C16="CHECK CYLINDER","CHECK CYLINDER",IF(Q16="Voided","VOIDED",IF(COUNT(I16:K16)&lt;3,"CHECK QUANTITIES",IF(ABS(I16-J16-K16)&gt;Assumptions!$B$7,"CHECK QUANTITIES",IF(R16&lt;0,"CHECK NEGATIVE BALANCE",IF(R16&lt;IFERROR(VLOOKUP(B16,Cylinders!$A$6:$J$105,4,FALSE),0)*Assumptions!$B$6,"CHECK LOW BALANCE","OK")))))))</f>
        <v/>
      </c>
    </row>
    <row r="17" ht="30" customHeight="1">
      <c r="A17" s="18" t="n"/>
      <c r="B17" s="19" t="n"/>
      <c r="C17" s="25">
        <f>IF(B17="","",IFERROR(VLOOKUP(B17,Cylinders!$A$6:$J$105,2,FALSE),"CHECK CYLINDER"))</f>
        <v/>
      </c>
      <c r="D17" s="19" t="n"/>
      <c r="E17" s="21" t="n"/>
      <c r="F17" s="19" t="n"/>
      <c r="G17" s="21" t="n"/>
      <c r="H17" s="21" t="n"/>
      <c r="I17" s="22" t="n"/>
      <c r="J17" s="22" t="n"/>
      <c r="K17" s="22" t="n"/>
      <c r="L17" s="26">
        <f>IF(B17="","","lb")</f>
        <v/>
      </c>
      <c r="M17" s="27">
        <f>IF(B17="","",IFERROR(VLOOKUP(B17,Cylinders!$A$6:$J$105,5,FALSE),""))</f>
        <v/>
      </c>
      <c r="N17" s="27">
        <f>IF(OR(B17="",Q17="Voided"),"",IF(COUNT(J17,M17)&lt;2,"",IFERROR(J17*M17,"")))</f>
        <v/>
      </c>
      <c r="O17" s="19" t="n"/>
      <c r="P17" s="19" t="n"/>
      <c r="Q17" s="19" t="n"/>
      <c r="R17" s="28">
        <f>IF(B17="","",IFERROR(VLOOKUP(B17,Cylinders!$A$6:$J$105,4,FALSE)-SUMIFS($I$6:I17,$B$6:B17,B17,$Q$6:Q17,"&lt;&gt;Voided")+SUMIFS($K$6:K17,$B$6:B17,B17,$Q$6:Q17,"&lt;&gt;Voided"),""))</f>
        <v/>
      </c>
      <c r="S17" s="26">
        <f>IF(B17="","",IF(OR(A17="",D17="",Q17=""),"CHECK REQUIRED INPUTS",IF(C17="CHECK CYLINDER","CHECK CYLINDER",IF(Q17="Voided","VOIDED",IF(COUNT(I17:K17)&lt;3,"CHECK QUANTITIES",IF(ABS(I17-J17-K17)&gt;Assumptions!$B$7,"CHECK QUANTITIES",IF(R17&lt;0,"CHECK NEGATIVE BALANCE",IF(R17&lt;IFERROR(VLOOKUP(B17,Cylinders!$A$6:$J$105,4,FALSE),0)*Assumptions!$B$6,"CHECK LOW BALANCE","OK")))))))</f>
        <v/>
      </c>
    </row>
    <row r="18" ht="30" customHeight="1">
      <c r="A18" s="18" t="n"/>
      <c r="B18" s="19" t="n"/>
      <c r="C18" s="20">
        <f>IF(B18="","",IFERROR(VLOOKUP(B18,Cylinders!$A$6:$J$105,2,FALSE),"CHECK CYLINDER"))</f>
        <v/>
      </c>
      <c r="D18" s="19" t="n"/>
      <c r="E18" s="21" t="n"/>
      <c r="F18" s="19" t="n"/>
      <c r="G18" s="21" t="n"/>
      <c r="H18" s="21" t="n"/>
      <c r="I18" s="22" t="n"/>
      <c r="J18" s="22" t="n"/>
      <c r="K18" s="22" t="n"/>
      <c r="L18" s="23">
        <f>IF(B18="","","lb")</f>
        <v/>
      </c>
      <c r="M18" s="11">
        <f>IF(B18="","",IFERROR(VLOOKUP(B18,Cylinders!$A$6:$J$105,5,FALSE),""))</f>
        <v/>
      </c>
      <c r="N18" s="11">
        <f>IF(OR(B18="",Q18="Voided"),"",IF(COUNT(J18,M18)&lt;2,"",IFERROR(J18*M18,"")))</f>
        <v/>
      </c>
      <c r="O18" s="19" t="n"/>
      <c r="P18" s="19" t="n"/>
      <c r="Q18" s="19" t="n"/>
      <c r="R18" s="24">
        <f>IF(B18="","",IFERROR(VLOOKUP(B18,Cylinders!$A$6:$J$105,4,FALSE)-SUMIFS($I$6:I18,$B$6:B18,B18,$Q$6:Q18,"&lt;&gt;Voided")+SUMIFS($K$6:K18,$B$6:B18,B18,$Q$6:Q18,"&lt;&gt;Voided"),""))</f>
        <v/>
      </c>
      <c r="S18" s="23">
        <f>IF(B18="","",IF(OR(A18="",D18="",Q18=""),"CHECK REQUIRED INPUTS",IF(C18="CHECK CYLINDER","CHECK CYLINDER",IF(Q18="Voided","VOIDED",IF(COUNT(I18:K18)&lt;3,"CHECK QUANTITIES",IF(ABS(I18-J18-K18)&gt;Assumptions!$B$7,"CHECK QUANTITIES",IF(R18&lt;0,"CHECK NEGATIVE BALANCE",IF(R18&lt;IFERROR(VLOOKUP(B18,Cylinders!$A$6:$J$105,4,FALSE),0)*Assumptions!$B$6,"CHECK LOW BALANCE","OK")))))))</f>
        <v/>
      </c>
    </row>
    <row r="19" ht="30" customHeight="1">
      <c r="A19" s="18" t="n"/>
      <c r="B19" s="19" t="n"/>
      <c r="C19" s="25">
        <f>IF(B19="","",IFERROR(VLOOKUP(B19,Cylinders!$A$6:$J$105,2,FALSE),"CHECK CYLINDER"))</f>
        <v/>
      </c>
      <c r="D19" s="19" t="n"/>
      <c r="E19" s="21" t="n"/>
      <c r="F19" s="19" t="n"/>
      <c r="G19" s="21" t="n"/>
      <c r="H19" s="21" t="n"/>
      <c r="I19" s="22" t="n"/>
      <c r="J19" s="22" t="n"/>
      <c r="K19" s="22" t="n"/>
      <c r="L19" s="26">
        <f>IF(B19="","","lb")</f>
        <v/>
      </c>
      <c r="M19" s="27">
        <f>IF(B19="","",IFERROR(VLOOKUP(B19,Cylinders!$A$6:$J$105,5,FALSE),""))</f>
        <v/>
      </c>
      <c r="N19" s="27">
        <f>IF(OR(B19="",Q19="Voided"),"",IF(COUNT(J19,M19)&lt;2,"",IFERROR(J19*M19,"")))</f>
        <v/>
      </c>
      <c r="O19" s="19" t="n"/>
      <c r="P19" s="19" t="n"/>
      <c r="Q19" s="19" t="n"/>
      <c r="R19" s="28">
        <f>IF(B19="","",IFERROR(VLOOKUP(B19,Cylinders!$A$6:$J$105,4,FALSE)-SUMIFS($I$6:I19,$B$6:B19,B19,$Q$6:Q19,"&lt;&gt;Voided")+SUMIFS($K$6:K19,$B$6:B19,B19,$Q$6:Q19,"&lt;&gt;Voided"),""))</f>
        <v/>
      </c>
      <c r="S19" s="26">
        <f>IF(B19="","",IF(OR(A19="",D19="",Q19=""),"CHECK REQUIRED INPUTS",IF(C19="CHECK CYLINDER","CHECK CYLINDER",IF(Q19="Voided","VOIDED",IF(COUNT(I19:K19)&lt;3,"CHECK QUANTITIES",IF(ABS(I19-J19-K19)&gt;Assumptions!$B$7,"CHECK QUANTITIES",IF(R19&lt;0,"CHECK NEGATIVE BALANCE",IF(R19&lt;IFERROR(VLOOKUP(B19,Cylinders!$A$6:$J$105,4,FALSE),0)*Assumptions!$B$6,"CHECK LOW BALANCE","OK")))))))</f>
        <v/>
      </c>
    </row>
    <row r="20" ht="30" customHeight="1">
      <c r="A20" s="18" t="n"/>
      <c r="B20" s="19" t="n"/>
      <c r="C20" s="20">
        <f>IF(B20="","",IFERROR(VLOOKUP(B20,Cylinders!$A$6:$J$105,2,FALSE),"CHECK CYLINDER"))</f>
        <v/>
      </c>
      <c r="D20" s="19" t="n"/>
      <c r="E20" s="21" t="n"/>
      <c r="F20" s="19" t="n"/>
      <c r="G20" s="21" t="n"/>
      <c r="H20" s="21" t="n"/>
      <c r="I20" s="22" t="n"/>
      <c r="J20" s="22" t="n"/>
      <c r="K20" s="22" t="n"/>
      <c r="L20" s="23">
        <f>IF(B20="","","lb")</f>
        <v/>
      </c>
      <c r="M20" s="11">
        <f>IF(B20="","",IFERROR(VLOOKUP(B20,Cylinders!$A$6:$J$105,5,FALSE),""))</f>
        <v/>
      </c>
      <c r="N20" s="11">
        <f>IF(OR(B20="",Q20="Voided"),"",IF(COUNT(J20,M20)&lt;2,"",IFERROR(J20*M20,"")))</f>
        <v/>
      </c>
      <c r="O20" s="19" t="n"/>
      <c r="P20" s="19" t="n"/>
      <c r="Q20" s="19" t="n"/>
      <c r="R20" s="24">
        <f>IF(B20="","",IFERROR(VLOOKUP(B20,Cylinders!$A$6:$J$105,4,FALSE)-SUMIFS($I$6:I20,$B$6:B20,B20,$Q$6:Q20,"&lt;&gt;Voided")+SUMIFS($K$6:K20,$B$6:B20,B20,$Q$6:Q20,"&lt;&gt;Voided"),""))</f>
        <v/>
      </c>
      <c r="S20" s="23">
        <f>IF(B20="","",IF(OR(A20="",D20="",Q20=""),"CHECK REQUIRED INPUTS",IF(C20="CHECK CYLINDER","CHECK CYLINDER",IF(Q20="Voided","VOIDED",IF(COUNT(I20:K20)&lt;3,"CHECK QUANTITIES",IF(ABS(I20-J20-K20)&gt;Assumptions!$B$7,"CHECK QUANTITIES",IF(R20&lt;0,"CHECK NEGATIVE BALANCE",IF(R20&lt;IFERROR(VLOOKUP(B20,Cylinders!$A$6:$J$105,4,FALSE),0)*Assumptions!$B$6,"CHECK LOW BALANCE","OK")))))))</f>
        <v/>
      </c>
    </row>
    <row r="21" ht="30" customHeight="1">
      <c r="A21" s="18" t="n"/>
      <c r="B21" s="19" t="n"/>
      <c r="C21" s="25">
        <f>IF(B21="","",IFERROR(VLOOKUP(B21,Cylinders!$A$6:$J$105,2,FALSE),"CHECK CYLINDER"))</f>
        <v/>
      </c>
      <c r="D21" s="19" t="n"/>
      <c r="E21" s="21" t="n"/>
      <c r="F21" s="19" t="n"/>
      <c r="G21" s="21" t="n"/>
      <c r="H21" s="21" t="n"/>
      <c r="I21" s="22" t="n"/>
      <c r="J21" s="22" t="n"/>
      <c r="K21" s="22" t="n"/>
      <c r="L21" s="26">
        <f>IF(B21="","","lb")</f>
        <v/>
      </c>
      <c r="M21" s="27">
        <f>IF(B21="","",IFERROR(VLOOKUP(B21,Cylinders!$A$6:$J$105,5,FALSE),""))</f>
        <v/>
      </c>
      <c r="N21" s="27">
        <f>IF(OR(B21="",Q21="Voided"),"",IF(COUNT(J21,M21)&lt;2,"",IFERROR(J21*M21,"")))</f>
        <v/>
      </c>
      <c r="O21" s="19" t="n"/>
      <c r="P21" s="19" t="n"/>
      <c r="Q21" s="19" t="n"/>
      <c r="R21" s="28">
        <f>IF(B21="","",IFERROR(VLOOKUP(B21,Cylinders!$A$6:$J$105,4,FALSE)-SUMIFS($I$6:I21,$B$6:B21,B21,$Q$6:Q21,"&lt;&gt;Voided")+SUMIFS($K$6:K21,$B$6:B21,B21,$Q$6:Q21,"&lt;&gt;Voided"),""))</f>
        <v/>
      </c>
      <c r="S21" s="26">
        <f>IF(B21="","",IF(OR(A21="",D21="",Q21=""),"CHECK REQUIRED INPUTS",IF(C21="CHECK CYLINDER","CHECK CYLINDER",IF(Q21="Voided","VOIDED",IF(COUNT(I21:K21)&lt;3,"CHECK QUANTITIES",IF(ABS(I21-J21-K21)&gt;Assumptions!$B$7,"CHECK QUANTITIES",IF(R21&lt;0,"CHECK NEGATIVE BALANCE",IF(R21&lt;IFERROR(VLOOKUP(B21,Cylinders!$A$6:$J$105,4,FALSE),0)*Assumptions!$B$6,"CHECK LOW BALANCE","OK")))))))</f>
        <v/>
      </c>
    </row>
    <row r="22" ht="30" customHeight="1">
      <c r="A22" s="18" t="n"/>
      <c r="B22" s="19" t="n"/>
      <c r="C22" s="20">
        <f>IF(B22="","",IFERROR(VLOOKUP(B22,Cylinders!$A$6:$J$105,2,FALSE),"CHECK CYLINDER"))</f>
        <v/>
      </c>
      <c r="D22" s="19" t="n"/>
      <c r="E22" s="21" t="n"/>
      <c r="F22" s="19" t="n"/>
      <c r="G22" s="21" t="n"/>
      <c r="H22" s="21" t="n"/>
      <c r="I22" s="22" t="n"/>
      <c r="J22" s="22" t="n"/>
      <c r="K22" s="22" t="n"/>
      <c r="L22" s="23">
        <f>IF(B22="","","lb")</f>
        <v/>
      </c>
      <c r="M22" s="11">
        <f>IF(B22="","",IFERROR(VLOOKUP(B22,Cylinders!$A$6:$J$105,5,FALSE),""))</f>
        <v/>
      </c>
      <c r="N22" s="11">
        <f>IF(OR(B22="",Q22="Voided"),"",IF(COUNT(J22,M22)&lt;2,"",IFERROR(J22*M22,"")))</f>
        <v/>
      </c>
      <c r="O22" s="19" t="n"/>
      <c r="P22" s="19" t="n"/>
      <c r="Q22" s="19" t="n"/>
      <c r="R22" s="24">
        <f>IF(B22="","",IFERROR(VLOOKUP(B22,Cylinders!$A$6:$J$105,4,FALSE)-SUMIFS($I$6:I22,$B$6:B22,B22,$Q$6:Q22,"&lt;&gt;Voided")+SUMIFS($K$6:K22,$B$6:B22,B22,$Q$6:Q22,"&lt;&gt;Voided"),""))</f>
        <v/>
      </c>
      <c r="S22" s="23">
        <f>IF(B22="","",IF(OR(A22="",D22="",Q22=""),"CHECK REQUIRED INPUTS",IF(C22="CHECK CYLINDER","CHECK CYLINDER",IF(Q22="Voided","VOIDED",IF(COUNT(I22:K22)&lt;3,"CHECK QUANTITIES",IF(ABS(I22-J22-K22)&gt;Assumptions!$B$7,"CHECK QUANTITIES",IF(R22&lt;0,"CHECK NEGATIVE BALANCE",IF(R22&lt;IFERROR(VLOOKUP(B22,Cylinders!$A$6:$J$105,4,FALSE),0)*Assumptions!$B$6,"CHECK LOW BALANCE","OK")))))))</f>
        <v/>
      </c>
    </row>
    <row r="23" ht="30" customHeight="1">
      <c r="A23" s="18" t="n"/>
      <c r="B23" s="19" t="n"/>
      <c r="C23" s="25">
        <f>IF(B23="","",IFERROR(VLOOKUP(B23,Cylinders!$A$6:$J$105,2,FALSE),"CHECK CYLINDER"))</f>
        <v/>
      </c>
      <c r="D23" s="19" t="n"/>
      <c r="E23" s="21" t="n"/>
      <c r="F23" s="19" t="n"/>
      <c r="G23" s="21" t="n"/>
      <c r="H23" s="21" t="n"/>
      <c r="I23" s="22" t="n"/>
      <c r="J23" s="22" t="n"/>
      <c r="K23" s="22" t="n"/>
      <c r="L23" s="26">
        <f>IF(B23="","","lb")</f>
        <v/>
      </c>
      <c r="M23" s="27">
        <f>IF(B23="","",IFERROR(VLOOKUP(B23,Cylinders!$A$6:$J$105,5,FALSE),""))</f>
        <v/>
      </c>
      <c r="N23" s="27">
        <f>IF(OR(B23="",Q23="Voided"),"",IF(COUNT(J23,M23)&lt;2,"",IFERROR(J23*M23,"")))</f>
        <v/>
      </c>
      <c r="O23" s="19" t="n"/>
      <c r="P23" s="19" t="n"/>
      <c r="Q23" s="19" t="n"/>
      <c r="R23" s="28">
        <f>IF(B23="","",IFERROR(VLOOKUP(B23,Cylinders!$A$6:$J$105,4,FALSE)-SUMIFS($I$6:I23,$B$6:B23,B23,$Q$6:Q23,"&lt;&gt;Voided")+SUMIFS($K$6:K23,$B$6:B23,B23,$Q$6:Q23,"&lt;&gt;Voided"),""))</f>
        <v/>
      </c>
      <c r="S23" s="26">
        <f>IF(B23="","",IF(OR(A23="",D23="",Q23=""),"CHECK REQUIRED INPUTS",IF(C23="CHECK CYLINDER","CHECK CYLINDER",IF(Q23="Voided","VOIDED",IF(COUNT(I23:K23)&lt;3,"CHECK QUANTITIES",IF(ABS(I23-J23-K23)&gt;Assumptions!$B$7,"CHECK QUANTITIES",IF(R23&lt;0,"CHECK NEGATIVE BALANCE",IF(R23&lt;IFERROR(VLOOKUP(B23,Cylinders!$A$6:$J$105,4,FALSE),0)*Assumptions!$B$6,"CHECK LOW BALANCE","OK")))))))</f>
        <v/>
      </c>
    </row>
    <row r="24" ht="30" customHeight="1">
      <c r="A24" s="18" t="n"/>
      <c r="B24" s="19" t="n"/>
      <c r="C24" s="20">
        <f>IF(B24="","",IFERROR(VLOOKUP(B24,Cylinders!$A$6:$J$105,2,FALSE),"CHECK CYLINDER"))</f>
        <v/>
      </c>
      <c r="D24" s="19" t="n"/>
      <c r="E24" s="21" t="n"/>
      <c r="F24" s="19" t="n"/>
      <c r="G24" s="21" t="n"/>
      <c r="H24" s="21" t="n"/>
      <c r="I24" s="22" t="n"/>
      <c r="J24" s="22" t="n"/>
      <c r="K24" s="22" t="n"/>
      <c r="L24" s="23">
        <f>IF(B24="","","lb")</f>
        <v/>
      </c>
      <c r="M24" s="11">
        <f>IF(B24="","",IFERROR(VLOOKUP(B24,Cylinders!$A$6:$J$105,5,FALSE),""))</f>
        <v/>
      </c>
      <c r="N24" s="11">
        <f>IF(OR(B24="",Q24="Voided"),"",IF(COUNT(J24,M24)&lt;2,"",IFERROR(J24*M24,"")))</f>
        <v/>
      </c>
      <c r="O24" s="19" t="n"/>
      <c r="P24" s="19" t="n"/>
      <c r="Q24" s="19" t="n"/>
      <c r="R24" s="24">
        <f>IF(B24="","",IFERROR(VLOOKUP(B24,Cylinders!$A$6:$J$105,4,FALSE)-SUMIFS($I$6:I24,$B$6:B24,B24,$Q$6:Q24,"&lt;&gt;Voided")+SUMIFS($K$6:K24,$B$6:B24,B24,$Q$6:Q24,"&lt;&gt;Voided"),""))</f>
        <v/>
      </c>
      <c r="S24" s="23">
        <f>IF(B24="","",IF(OR(A24="",D24="",Q24=""),"CHECK REQUIRED INPUTS",IF(C24="CHECK CYLINDER","CHECK CYLINDER",IF(Q24="Voided","VOIDED",IF(COUNT(I24:K24)&lt;3,"CHECK QUANTITIES",IF(ABS(I24-J24-K24)&gt;Assumptions!$B$7,"CHECK QUANTITIES",IF(R24&lt;0,"CHECK NEGATIVE BALANCE",IF(R24&lt;IFERROR(VLOOKUP(B24,Cylinders!$A$6:$J$105,4,FALSE),0)*Assumptions!$B$6,"CHECK LOW BALANCE","OK")))))))</f>
        <v/>
      </c>
    </row>
    <row r="25" ht="30" customHeight="1">
      <c r="A25" s="18" t="n"/>
      <c r="B25" s="19" t="n"/>
      <c r="C25" s="25">
        <f>IF(B25="","",IFERROR(VLOOKUP(B25,Cylinders!$A$6:$J$105,2,FALSE),"CHECK CYLINDER"))</f>
        <v/>
      </c>
      <c r="D25" s="19" t="n"/>
      <c r="E25" s="21" t="n"/>
      <c r="F25" s="19" t="n"/>
      <c r="G25" s="21" t="n"/>
      <c r="H25" s="21" t="n"/>
      <c r="I25" s="22" t="n"/>
      <c r="J25" s="22" t="n"/>
      <c r="K25" s="22" t="n"/>
      <c r="L25" s="26">
        <f>IF(B25="","","lb")</f>
        <v/>
      </c>
      <c r="M25" s="27">
        <f>IF(B25="","",IFERROR(VLOOKUP(B25,Cylinders!$A$6:$J$105,5,FALSE),""))</f>
        <v/>
      </c>
      <c r="N25" s="27">
        <f>IF(OR(B25="",Q25="Voided"),"",IF(COUNT(J25,M25)&lt;2,"",IFERROR(J25*M25,"")))</f>
        <v/>
      </c>
      <c r="O25" s="19" t="n"/>
      <c r="P25" s="19" t="n"/>
      <c r="Q25" s="19" t="n"/>
      <c r="R25" s="28">
        <f>IF(B25="","",IFERROR(VLOOKUP(B25,Cylinders!$A$6:$J$105,4,FALSE)-SUMIFS($I$6:I25,$B$6:B25,B25,$Q$6:Q25,"&lt;&gt;Voided")+SUMIFS($K$6:K25,$B$6:B25,B25,$Q$6:Q25,"&lt;&gt;Voided"),""))</f>
        <v/>
      </c>
      <c r="S25" s="26">
        <f>IF(B25="","",IF(OR(A25="",D25="",Q25=""),"CHECK REQUIRED INPUTS",IF(C25="CHECK CYLINDER","CHECK CYLINDER",IF(Q25="Voided","VOIDED",IF(COUNT(I25:K25)&lt;3,"CHECK QUANTITIES",IF(ABS(I25-J25-K25)&gt;Assumptions!$B$7,"CHECK QUANTITIES",IF(R25&lt;0,"CHECK NEGATIVE BALANCE",IF(R25&lt;IFERROR(VLOOKUP(B25,Cylinders!$A$6:$J$105,4,FALSE),0)*Assumptions!$B$6,"CHECK LOW BALANCE","OK")))))))</f>
        <v/>
      </c>
    </row>
    <row r="26" ht="30" customHeight="1">
      <c r="A26" s="18" t="n"/>
      <c r="B26" s="19" t="n"/>
      <c r="C26" s="20">
        <f>IF(B26="","",IFERROR(VLOOKUP(B26,Cylinders!$A$6:$J$105,2,FALSE),"CHECK CYLINDER"))</f>
        <v/>
      </c>
      <c r="D26" s="19" t="n"/>
      <c r="E26" s="21" t="n"/>
      <c r="F26" s="19" t="n"/>
      <c r="G26" s="21" t="n"/>
      <c r="H26" s="21" t="n"/>
      <c r="I26" s="22" t="n"/>
      <c r="J26" s="22" t="n"/>
      <c r="K26" s="22" t="n"/>
      <c r="L26" s="23">
        <f>IF(B26="","","lb")</f>
        <v/>
      </c>
      <c r="M26" s="11">
        <f>IF(B26="","",IFERROR(VLOOKUP(B26,Cylinders!$A$6:$J$105,5,FALSE),""))</f>
        <v/>
      </c>
      <c r="N26" s="11">
        <f>IF(OR(B26="",Q26="Voided"),"",IF(COUNT(J26,M26)&lt;2,"",IFERROR(J26*M26,"")))</f>
        <v/>
      </c>
      <c r="O26" s="19" t="n"/>
      <c r="P26" s="19" t="n"/>
      <c r="Q26" s="19" t="n"/>
      <c r="R26" s="24">
        <f>IF(B26="","",IFERROR(VLOOKUP(B26,Cylinders!$A$6:$J$105,4,FALSE)-SUMIFS($I$6:I26,$B$6:B26,B26,$Q$6:Q26,"&lt;&gt;Voided")+SUMIFS($K$6:K26,$B$6:B26,B26,$Q$6:Q26,"&lt;&gt;Voided"),""))</f>
        <v/>
      </c>
      <c r="S26" s="23">
        <f>IF(B26="","",IF(OR(A26="",D26="",Q26=""),"CHECK REQUIRED INPUTS",IF(C26="CHECK CYLINDER","CHECK CYLINDER",IF(Q26="Voided","VOIDED",IF(COUNT(I26:K26)&lt;3,"CHECK QUANTITIES",IF(ABS(I26-J26-K26)&gt;Assumptions!$B$7,"CHECK QUANTITIES",IF(R26&lt;0,"CHECK NEGATIVE BALANCE",IF(R26&lt;IFERROR(VLOOKUP(B26,Cylinders!$A$6:$J$105,4,FALSE),0)*Assumptions!$B$6,"CHECK LOW BALANCE","OK")))))))</f>
        <v/>
      </c>
    </row>
    <row r="27" ht="30" customHeight="1">
      <c r="A27" s="18" t="n"/>
      <c r="B27" s="19" t="n"/>
      <c r="C27" s="25">
        <f>IF(B27="","",IFERROR(VLOOKUP(B27,Cylinders!$A$6:$J$105,2,FALSE),"CHECK CYLINDER"))</f>
        <v/>
      </c>
      <c r="D27" s="19" t="n"/>
      <c r="E27" s="21" t="n"/>
      <c r="F27" s="19" t="n"/>
      <c r="G27" s="21" t="n"/>
      <c r="H27" s="21" t="n"/>
      <c r="I27" s="22" t="n"/>
      <c r="J27" s="22" t="n"/>
      <c r="K27" s="22" t="n"/>
      <c r="L27" s="26">
        <f>IF(B27="","","lb")</f>
        <v/>
      </c>
      <c r="M27" s="27">
        <f>IF(B27="","",IFERROR(VLOOKUP(B27,Cylinders!$A$6:$J$105,5,FALSE),""))</f>
        <v/>
      </c>
      <c r="N27" s="27">
        <f>IF(OR(B27="",Q27="Voided"),"",IF(COUNT(J27,M27)&lt;2,"",IFERROR(J27*M27,"")))</f>
        <v/>
      </c>
      <c r="O27" s="19" t="n"/>
      <c r="P27" s="19" t="n"/>
      <c r="Q27" s="19" t="n"/>
      <c r="R27" s="28">
        <f>IF(B27="","",IFERROR(VLOOKUP(B27,Cylinders!$A$6:$J$105,4,FALSE)-SUMIFS($I$6:I27,$B$6:B27,B27,$Q$6:Q27,"&lt;&gt;Voided")+SUMIFS($K$6:K27,$B$6:B27,B27,$Q$6:Q27,"&lt;&gt;Voided"),""))</f>
        <v/>
      </c>
      <c r="S27" s="26">
        <f>IF(B27="","",IF(OR(A27="",D27="",Q27=""),"CHECK REQUIRED INPUTS",IF(C27="CHECK CYLINDER","CHECK CYLINDER",IF(Q27="Voided","VOIDED",IF(COUNT(I27:K27)&lt;3,"CHECK QUANTITIES",IF(ABS(I27-J27-K27)&gt;Assumptions!$B$7,"CHECK QUANTITIES",IF(R27&lt;0,"CHECK NEGATIVE BALANCE",IF(R27&lt;IFERROR(VLOOKUP(B27,Cylinders!$A$6:$J$105,4,FALSE),0)*Assumptions!$B$6,"CHECK LOW BALANCE","OK")))))))</f>
        <v/>
      </c>
    </row>
    <row r="28" ht="30" customHeight="1">
      <c r="A28" s="18" t="n"/>
      <c r="B28" s="19" t="n"/>
      <c r="C28" s="20">
        <f>IF(B28="","",IFERROR(VLOOKUP(B28,Cylinders!$A$6:$J$105,2,FALSE),"CHECK CYLINDER"))</f>
        <v/>
      </c>
      <c r="D28" s="19" t="n"/>
      <c r="E28" s="21" t="n"/>
      <c r="F28" s="19" t="n"/>
      <c r="G28" s="21" t="n"/>
      <c r="H28" s="21" t="n"/>
      <c r="I28" s="22" t="n"/>
      <c r="J28" s="22" t="n"/>
      <c r="K28" s="22" t="n"/>
      <c r="L28" s="23">
        <f>IF(B28="","","lb")</f>
        <v/>
      </c>
      <c r="M28" s="11">
        <f>IF(B28="","",IFERROR(VLOOKUP(B28,Cylinders!$A$6:$J$105,5,FALSE),""))</f>
        <v/>
      </c>
      <c r="N28" s="11">
        <f>IF(OR(B28="",Q28="Voided"),"",IF(COUNT(J28,M28)&lt;2,"",IFERROR(J28*M28,"")))</f>
        <v/>
      </c>
      <c r="O28" s="19" t="n"/>
      <c r="P28" s="19" t="n"/>
      <c r="Q28" s="19" t="n"/>
      <c r="R28" s="24">
        <f>IF(B28="","",IFERROR(VLOOKUP(B28,Cylinders!$A$6:$J$105,4,FALSE)-SUMIFS($I$6:I28,$B$6:B28,B28,$Q$6:Q28,"&lt;&gt;Voided")+SUMIFS($K$6:K28,$B$6:B28,B28,$Q$6:Q28,"&lt;&gt;Voided"),""))</f>
        <v/>
      </c>
      <c r="S28" s="23">
        <f>IF(B28="","",IF(OR(A28="",D28="",Q28=""),"CHECK REQUIRED INPUTS",IF(C28="CHECK CYLINDER","CHECK CYLINDER",IF(Q28="Voided","VOIDED",IF(COUNT(I28:K28)&lt;3,"CHECK QUANTITIES",IF(ABS(I28-J28-K28)&gt;Assumptions!$B$7,"CHECK QUANTITIES",IF(R28&lt;0,"CHECK NEGATIVE BALANCE",IF(R28&lt;IFERROR(VLOOKUP(B28,Cylinders!$A$6:$J$105,4,FALSE),0)*Assumptions!$B$6,"CHECK LOW BALANCE","OK")))))))</f>
        <v/>
      </c>
    </row>
    <row r="29" ht="30" customHeight="1">
      <c r="A29" s="18" t="n"/>
      <c r="B29" s="19" t="n"/>
      <c r="C29" s="25">
        <f>IF(B29="","",IFERROR(VLOOKUP(B29,Cylinders!$A$6:$J$105,2,FALSE),"CHECK CYLINDER"))</f>
        <v/>
      </c>
      <c r="D29" s="19" t="n"/>
      <c r="E29" s="21" t="n"/>
      <c r="F29" s="19" t="n"/>
      <c r="G29" s="21" t="n"/>
      <c r="H29" s="21" t="n"/>
      <c r="I29" s="22" t="n"/>
      <c r="J29" s="22" t="n"/>
      <c r="K29" s="22" t="n"/>
      <c r="L29" s="26">
        <f>IF(B29="","","lb")</f>
        <v/>
      </c>
      <c r="M29" s="27">
        <f>IF(B29="","",IFERROR(VLOOKUP(B29,Cylinders!$A$6:$J$105,5,FALSE),""))</f>
        <v/>
      </c>
      <c r="N29" s="27">
        <f>IF(OR(B29="",Q29="Voided"),"",IF(COUNT(J29,M29)&lt;2,"",IFERROR(J29*M29,"")))</f>
        <v/>
      </c>
      <c r="O29" s="19" t="n"/>
      <c r="P29" s="19" t="n"/>
      <c r="Q29" s="19" t="n"/>
      <c r="R29" s="28">
        <f>IF(B29="","",IFERROR(VLOOKUP(B29,Cylinders!$A$6:$J$105,4,FALSE)-SUMIFS($I$6:I29,$B$6:B29,B29,$Q$6:Q29,"&lt;&gt;Voided")+SUMIFS($K$6:K29,$B$6:B29,B29,$Q$6:Q29,"&lt;&gt;Voided"),""))</f>
        <v/>
      </c>
      <c r="S29" s="26">
        <f>IF(B29="","",IF(OR(A29="",D29="",Q29=""),"CHECK REQUIRED INPUTS",IF(C29="CHECK CYLINDER","CHECK CYLINDER",IF(Q29="Voided","VOIDED",IF(COUNT(I29:K29)&lt;3,"CHECK QUANTITIES",IF(ABS(I29-J29-K29)&gt;Assumptions!$B$7,"CHECK QUANTITIES",IF(R29&lt;0,"CHECK NEGATIVE BALANCE",IF(R29&lt;IFERROR(VLOOKUP(B29,Cylinders!$A$6:$J$105,4,FALSE),0)*Assumptions!$B$6,"CHECK LOW BALANCE","OK")))))))</f>
        <v/>
      </c>
    </row>
    <row r="30" ht="30" customHeight="1">
      <c r="A30" s="18" t="n"/>
      <c r="B30" s="19" t="n"/>
      <c r="C30" s="20">
        <f>IF(B30="","",IFERROR(VLOOKUP(B30,Cylinders!$A$6:$J$105,2,FALSE),"CHECK CYLINDER"))</f>
        <v/>
      </c>
      <c r="D30" s="19" t="n"/>
      <c r="E30" s="21" t="n"/>
      <c r="F30" s="19" t="n"/>
      <c r="G30" s="21" t="n"/>
      <c r="H30" s="21" t="n"/>
      <c r="I30" s="22" t="n"/>
      <c r="J30" s="22" t="n"/>
      <c r="K30" s="22" t="n"/>
      <c r="L30" s="23">
        <f>IF(B30="","","lb")</f>
        <v/>
      </c>
      <c r="M30" s="11">
        <f>IF(B30="","",IFERROR(VLOOKUP(B30,Cylinders!$A$6:$J$105,5,FALSE),""))</f>
        <v/>
      </c>
      <c r="N30" s="11">
        <f>IF(OR(B30="",Q30="Voided"),"",IF(COUNT(J30,M30)&lt;2,"",IFERROR(J30*M30,"")))</f>
        <v/>
      </c>
      <c r="O30" s="19" t="n"/>
      <c r="P30" s="19" t="n"/>
      <c r="Q30" s="19" t="n"/>
      <c r="R30" s="24">
        <f>IF(B30="","",IFERROR(VLOOKUP(B30,Cylinders!$A$6:$J$105,4,FALSE)-SUMIFS($I$6:I30,$B$6:B30,B30,$Q$6:Q30,"&lt;&gt;Voided")+SUMIFS($K$6:K30,$B$6:B30,B30,$Q$6:Q30,"&lt;&gt;Voided"),""))</f>
        <v/>
      </c>
      <c r="S30" s="23">
        <f>IF(B30="","",IF(OR(A30="",D30="",Q30=""),"CHECK REQUIRED INPUTS",IF(C30="CHECK CYLINDER","CHECK CYLINDER",IF(Q30="Voided","VOIDED",IF(COUNT(I30:K30)&lt;3,"CHECK QUANTITIES",IF(ABS(I30-J30-K30)&gt;Assumptions!$B$7,"CHECK QUANTITIES",IF(R30&lt;0,"CHECK NEGATIVE BALANCE",IF(R30&lt;IFERROR(VLOOKUP(B30,Cylinders!$A$6:$J$105,4,FALSE),0)*Assumptions!$B$6,"CHECK LOW BALANCE","OK")))))))</f>
        <v/>
      </c>
    </row>
    <row r="31" ht="30" customHeight="1">
      <c r="A31" s="18" t="n"/>
      <c r="B31" s="19" t="n"/>
      <c r="C31" s="25">
        <f>IF(B31="","",IFERROR(VLOOKUP(B31,Cylinders!$A$6:$J$105,2,FALSE),"CHECK CYLINDER"))</f>
        <v/>
      </c>
      <c r="D31" s="19" t="n"/>
      <c r="E31" s="21" t="n"/>
      <c r="F31" s="19" t="n"/>
      <c r="G31" s="21" t="n"/>
      <c r="H31" s="21" t="n"/>
      <c r="I31" s="22" t="n"/>
      <c r="J31" s="22" t="n"/>
      <c r="K31" s="22" t="n"/>
      <c r="L31" s="26">
        <f>IF(B31="","","lb")</f>
        <v/>
      </c>
      <c r="M31" s="27">
        <f>IF(B31="","",IFERROR(VLOOKUP(B31,Cylinders!$A$6:$J$105,5,FALSE),""))</f>
        <v/>
      </c>
      <c r="N31" s="27">
        <f>IF(OR(B31="",Q31="Voided"),"",IF(COUNT(J31,M31)&lt;2,"",IFERROR(J31*M31,"")))</f>
        <v/>
      </c>
      <c r="O31" s="19" t="n"/>
      <c r="P31" s="19" t="n"/>
      <c r="Q31" s="19" t="n"/>
      <c r="R31" s="28">
        <f>IF(B31="","",IFERROR(VLOOKUP(B31,Cylinders!$A$6:$J$105,4,FALSE)-SUMIFS($I$6:I31,$B$6:B31,B31,$Q$6:Q31,"&lt;&gt;Voided")+SUMIFS($K$6:K31,$B$6:B31,B31,$Q$6:Q31,"&lt;&gt;Voided"),""))</f>
        <v/>
      </c>
      <c r="S31" s="26">
        <f>IF(B31="","",IF(OR(A31="",D31="",Q31=""),"CHECK REQUIRED INPUTS",IF(C31="CHECK CYLINDER","CHECK CYLINDER",IF(Q31="Voided","VOIDED",IF(COUNT(I31:K31)&lt;3,"CHECK QUANTITIES",IF(ABS(I31-J31-K31)&gt;Assumptions!$B$7,"CHECK QUANTITIES",IF(R31&lt;0,"CHECK NEGATIVE BALANCE",IF(R31&lt;IFERROR(VLOOKUP(B31,Cylinders!$A$6:$J$105,4,FALSE),0)*Assumptions!$B$6,"CHECK LOW BALANCE","OK")))))))</f>
        <v/>
      </c>
    </row>
    <row r="32" ht="30" customHeight="1">
      <c r="A32" s="18" t="n"/>
      <c r="B32" s="19" t="n"/>
      <c r="C32" s="20">
        <f>IF(B32="","",IFERROR(VLOOKUP(B32,Cylinders!$A$6:$J$105,2,FALSE),"CHECK CYLINDER"))</f>
        <v/>
      </c>
      <c r="D32" s="19" t="n"/>
      <c r="E32" s="21" t="n"/>
      <c r="F32" s="19" t="n"/>
      <c r="G32" s="21" t="n"/>
      <c r="H32" s="21" t="n"/>
      <c r="I32" s="22" t="n"/>
      <c r="J32" s="22" t="n"/>
      <c r="K32" s="22" t="n"/>
      <c r="L32" s="23">
        <f>IF(B32="","","lb")</f>
        <v/>
      </c>
      <c r="M32" s="11">
        <f>IF(B32="","",IFERROR(VLOOKUP(B32,Cylinders!$A$6:$J$105,5,FALSE),""))</f>
        <v/>
      </c>
      <c r="N32" s="11">
        <f>IF(OR(B32="",Q32="Voided"),"",IF(COUNT(J32,M32)&lt;2,"",IFERROR(J32*M32,"")))</f>
        <v/>
      </c>
      <c r="O32" s="19" t="n"/>
      <c r="P32" s="19" t="n"/>
      <c r="Q32" s="19" t="n"/>
      <c r="R32" s="24">
        <f>IF(B32="","",IFERROR(VLOOKUP(B32,Cylinders!$A$6:$J$105,4,FALSE)-SUMIFS($I$6:I32,$B$6:B32,B32,$Q$6:Q32,"&lt;&gt;Voided")+SUMIFS($K$6:K32,$B$6:B32,B32,$Q$6:Q32,"&lt;&gt;Voided"),""))</f>
        <v/>
      </c>
      <c r="S32" s="23">
        <f>IF(B32="","",IF(OR(A32="",D32="",Q32=""),"CHECK REQUIRED INPUTS",IF(C32="CHECK CYLINDER","CHECK CYLINDER",IF(Q32="Voided","VOIDED",IF(COUNT(I32:K32)&lt;3,"CHECK QUANTITIES",IF(ABS(I32-J32-K32)&gt;Assumptions!$B$7,"CHECK QUANTITIES",IF(R32&lt;0,"CHECK NEGATIVE BALANCE",IF(R32&lt;IFERROR(VLOOKUP(B32,Cylinders!$A$6:$J$105,4,FALSE),0)*Assumptions!$B$6,"CHECK LOW BALANCE","OK")))))))</f>
        <v/>
      </c>
    </row>
    <row r="33" ht="30" customHeight="1">
      <c r="A33" s="18" t="n"/>
      <c r="B33" s="19" t="n"/>
      <c r="C33" s="25">
        <f>IF(B33="","",IFERROR(VLOOKUP(B33,Cylinders!$A$6:$J$105,2,FALSE),"CHECK CYLINDER"))</f>
        <v/>
      </c>
      <c r="D33" s="19" t="n"/>
      <c r="E33" s="21" t="n"/>
      <c r="F33" s="19" t="n"/>
      <c r="G33" s="21" t="n"/>
      <c r="H33" s="21" t="n"/>
      <c r="I33" s="22" t="n"/>
      <c r="J33" s="22" t="n"/>
      <c r="K33" s="22" t="n"/>
      <c r="L33" s="26">
        <f>IF(B33="","","lb")</f>
        <v/>
      </c>
      <c r="M33" s="27">
        <f>IF(B33="","",IFERROR(VLOOKUP(B33,Cylinders!$A$6:$J$105,5,FALSE),""))</f>
        <v/>
      </c>
      <c r="N33" s="27">
        <f>IF(OR(B33="",Q33="Voided"),"",IF(COUNT(J33,M33)&lt;2,"",IFERROR(J33*M33,"")))</f>
        <v/>
      </c>
      <c r="O33" s="19" t="n"/>
      <c r="P33" s="19" t="n"/>
      <c r="Q33" s="19" t="n"/>
      <c r="R33" s="28">
        <f>IF(B33="","",IFERROR(VLOOKUP(B33,Cylinders!$A$6:$J$105,4,FALSE)-SUMIFS($I$6:I33,$B$6:B33,B33,$Q$6:Q33,"&lt;&gt;Voided")+SUMIFS($K$6:K33,$B$6:B33,B33,$Q$6:Q33,"&lt;&gt;Voided"),""))</f>
        <v/>
      </c>
      <c r="S33" s="26">
        <f>IF(B33="","",IF(OR(A33="",D33="",Q33=""),"CHECK REQUIRED INPUTS",IF(C33="CHECK CYLINDER","CHECK CYLINDER",IF(Q33="Voided","VOIDED",IF(COUNT(I33:K33)&lt;3,"CHECK QUANTITIES",IF(ABS(I33-J33-K33)&gt;Assumptions!$B$7,"CHECK QUANTITIES",IF(R33&lt;0,"CHECK NEGATIVE BALANCE",IF(R33&lt;IFERROR(VLOOKUP(B33,Cylinders!$A$6:$J$105,4,FALSE),0)*Assumptions!$B$6,"CHECK LOW BALANCE","OK")))))))</f>
        <v/>
      </c>
    </row>
    <row r="34" ht="30" customHeight="1">
      <c r="A34" s="18" t="n"/>
      <c r="B34" s="19" t="n"/>
      <c r="C34" s="20">
        <f>IF(B34="","",IFERROR(VLOOKUP(B34,Cylinders!$A$6:$J$105,2,FALSE),"CHECK CYLINDER"))</f>
        <v/>
      </c>
      <c r="D34" s="19" t="n"/>
      <c r="E34" s="21" t="n"/>
      <c r="F34" s="19" t="n"/>
      <c r="G34" s="21" t="n"/>
      <c r="H34" s="21" t="n"/>
      <c r="I34" s="22" t="n"/>
      <c r="J34" s="22" t="n"/>
      <c r="K34" s="22" t="n"/>
      <c r="L34" s="23">
        <f>IF(B34="","","lb")</f>
        <v/>
      </c>
      <c r="M34" s="11">
        <f>IF(B34="","",IFERROR(VLOOKUP(B34,Cylinders!$A$6:$J$105,5,FALSE),""))</f>
        <v/>
      </c>
      <c r="N34" s="11">
        <f>IF(OR(B34="",Q34="Voided"),"",IF(COUNT(J34,M34)&lt;2,"",IFERROR(J34*M34,"")))</f>
        <v/>
      </c>
      <c r="O34" s="19" t="n"/>
      <c r="P34" s="19" t="n"/>
      <c r="Q34" s="19" t="n"/>
      <c r="R34" s="24">
        <f>IF(B34="","",IFERROR(VLOOKUP(B34,Cylinders!$A$6:$J$105,4,FALSE)-SUMIFS($I$6:I34,$B$6:B34,B34,$Q$6:Q34,"&lt;&gt;Voided")+SUMIFS($K$6:K34,$B$6:B34,B34,$Q$6:Q34,"&lt;&gt;Voided"),""))</f>
        <v/>
      </c>
      <c r="S34" s="23">
        <f>IF(B34="","",IF(OR(A34="",D34="",Q34=""),"CHECK REQUIRED INPUTS",IF(C34="CHECK CYLINDER","CHECK CYLINDER",IF(Q34="Voided","VOIDED",IF(COUNT(I34:K34)&lt;3,"CHECK QUANTITIES",IF(ABS(I34-J34-K34)&gt;Assumptions!$B$7,"CHECK QUANTITIES",IF(R34&lt;0,"CHECK NEGATIVE BALANCE",IF(R34&lt;IFERROR(VLOOKUP(B34,Cylinders!$A$6:$J$105,4,FALSE),0)*Assumptions!$B$6,"CHECK LOW BALANCE","OK")))))))</f>
        <v/>
      </c>
    </row>
    <row r="35" ht="30" customHeight="1">
      <c r="A35" s="18" t="n"/>
      <c r="B35" s="19" t="n"/>
      <c r="C35" s="25">
        <f>IF(B35="","",IFERROR(VLOOKUP(B35,Cylinders!$A$6:$J$105,2,FALSE),"CHECK CYLINDER"))</f>
        <v/>
      </c>
      <c r="D35" s="19" t="n"/>
      <c r="E35" s="21" t="n"/>
      <c r="F35" s="19" t="n"/>
      <c r="G35" s="21" t="n"/>
      <c r="H35" s="21" t="n"/>
      <c r="I35" s="22" t="n"/>
      <c r="J35" s="22" t="n"/>
      <c r="K35" s="22" t="n"/>
      <c r="L35" s="26">
        <f>IF(B35="","","lb")</f>
        <v/>
      </c>
      <c r="M35" s="27">
        <f>IF(B35="","",IFERROR(VLOOKUP(B35,Cylinders!$A$6:$J$105,5,FALSE),""))</f>
        <v/>
      </c>
      <c r="N35" s="27">
        <f>IF(OR(B35="",Q35="Voided"),"",IF(COUNT(J35,M35)&lt;2,"",IFERROR(J35*M35,"")))</f>
        <v/>
      </c>
      <c r="O35" s="19" t="n"/>
      <c r="P35" s="19" t="n"/>
      <c r="Q35" s="19" t="n"/>
      <c r="R35" s="28">
        <f>IF(B35="","",IFERROR(VLOOKUP(B35,Cylinders!$A$6:$J$105,4,FALSE)-SUMIFS($I$6:I35,$B$6:B35,B35,$Q$6:Q35,"&lt;&gt;Voided")+SUMIFS($K$6:K35,$B$6:B35,B35,$Q$6:Q35,"&lt;&gt;Voided"),""))</f>
        <v/>
      </c>
      <c r="S35" s="26">
        <f>IF(B35="","",IF(OR(A35="",D35="",Q35=""),"CHECK REQUIRED INPUTS",IF(C35="CHECK CYLINDER","CHECK CYLINDER",IF(Q35="Voided","VOIDED",IF(COUNT(I35:K35)&lt;3,"CHECK QUANTITIES",IF(ABS(I35-J35-K35)&gt;Assumptions!$B$7,"CHECK QUANTITIES",IF(R35&lt;0,"CHECK NEGATIVE BALANCE",IF(R35&lt;IFERROR(VLOOKUP(B35,Cylinders!$A$6:$J$105,4,FALSE),0)*Assumptions!$B$6,"CHECK LOW BALANCE","OK")))))))</f>
        <v/>
      </c>
    </row>
    <row r="36" ht="30" customHeight="1">
      <c r="A36" s="18" t="n"/>
      <c r="B36" s="19" t="n"/>
      <c r="C36" s="20">
        <f>IF(B36="","",IFERROR(VLOOKUP(B36,Cylinders!$A$6:$J$105,2,FALSE),"CHECK CYLINDER"))</f>
        <v/>
      </c>
      <c r="D36" s="19" t="n"/>
      <c r="E36" s="21" t="n"/>
      <c r="F36" s="19" t="n"/>
      <c r="G36" s="21" t="n"/>
      <c r="H36" s="21" t="n"/>
      <c r="I36" s="22" t="n"/>
      <c r="J36" s="22" t="n"/>
      <c r="K36" s="22" t="n"/>
      <c r="L36" s="23">
        <f>IF(B36="","","lb")</f>
        <v/>
      </c>
      <c r="M36" s="11">
        <f>IF(B36="","",IFERROR(VLOOKUP(B36,Cylinders!$A$6:$J$105,5,FALSE),""))</f>
        <v/>
      </c>
      <c r="N36" s="11">
        <f>IF(OR(B36="",Q36="Voided"),"",IF(COUNT(J36,M36)&lt;2,"",IFERROR(J36*M36,"")))</f>
        <v/>
      </c>
      <c r="O36" s="19" t="n"/>
      <c r="P36" s="19" t="n"/>
      <c r="Q36" s="19" t="n"/>
      <c r="R36" s="24">
        <f>IF(B36="","",IFERROR(VLOOKUP(B36,Cylinders!$A$6:$J$105,4,FALSE)-SUMIFS($I$6:I36,$B$6:B36,B36,$Q$6:Q36,"&lt;&gt;Voided")+SUMIFS($K$6:K36,$B$6:B36,B36,$Q$6:Q36,"&lt;&gt;Voided"),""))</f>
        <v/>
      </c>
      <c r="S36" s="23">
        <f>IF(B36="","",IF(OR(A36="",D36="",Q36=""),"CHECK REQUIRED INPUTS",IF(C36="CHECK CYLINDER","CHECK CYLINDER",IF(Q36="Voided","VOIDED",IF(COUNT(I36:K36)&lt;3,"CHECK QUANTITIES",IF(ABS(I36-J36-K36)&gt;Assumptions!$B$7,"CHECK QUANTITIES",IF(R36&lt;0,"CHECK NEGATIVE BALANCE",IF(R36&lt;IFERROR(VLOOKUP(B36,Cylinders!$A$6:$J$105,4,FALSE),0)*Assumptions!$B$6,"CHECK LOW BALANCE","OK")))))))</f>
        <v/>
      </c>
    </row>
    <row r="37" ht="30" customHeight="1">
      <c r="A37" s="18" t="n"/>
      <c r="B37" s="19" t="n"/>
      <c r="C37" s="25">
        <f>IF(B37="","",IFERROR(VLOOKUP(B37,Cylinders!$A$6:$J$105,2,FALSE),"CHECK CYLINDER"))</f>
        <v/>
      </c>
      <c r="D37" s="19" t="n"/>
      <c r="E37" s="21" t="n"/>
      <c r="F37" s="19" t="n"/>
      <c r="G37" s="21" t="n"/>
      <c r="H37" s="21" t="n"/>
      <c r="I37" s="22" t="n"/>
      <c r="J37" s="22" t="n"/>
      <c r="K37" s="22" t="n"/>
      <c r="L37" s="26">
        <f>IF(B37="","","lb")</f>
        <v/>
      </c>
      <c r="M37" s="27">
        <f>IF(B37="","",IFERROR(VLOOKUP(B37,Cylinders!$A$6:$J$105,5,FALSE),""))</f>
        <v/>
      </c>
      <c r="N37" s="27">
        <f>IF(OR(B37="",Q37="Voided"),"",IF(COUNT(J37,M37)&lt;2,"",IFERROR(J37*M37,"")))</f>
        <v/>
      </c>
      <c r="O37" s="19" t="n"/>
      <c r="P37" s="19" t="n"/>
      <c r="Q37" s="19" t="n"/>
      <c r="R37" s="28">
        <f>IF(B37="","",IFERROR(VLOOKUP(B37,Cylinders!$A$6:$J$105,4,FALSE)-SUMIFS($I$6:I37,$B$6:B37,B37,$Q$6:Q37,"&lt;&gt;Voided")+SUMIFS($K$6:K37,$B$6:B37,B37,$Q$6:Q37,"&lt;&gt;Voided"),""))</f>
        <v/>
      </c>
      <c r="S37" s="26">
        <f>IF(B37="","",IF(OR(A37="",D37="",Q37=""),"CHECK REQUIRED INPUTS",IF(C37="CHECK CYLINDER","CHECK CYLINDER",IF(Q37="Voided","VOIDED",IF(COUNT(I37:K37)&lt;3,"CHECK QUANTITIES",IF(ABS(I37-J37-K37)&gt;Assumptions!$B$7,"CHECK QUANTITIES",IF(R37&lt;0,"CHECK NEGATIVE BALANCE",IF(R37&lt;IFERROR(VLOOKUP(B37,Cylinders!$A$6:$J$105,4,FALSE),0)*Assumptions!$B$6,"CHECK LOW BALANCE","OK")))))))</f>
        <v/>
      </c>
    </row>
    <row r="38" ht="30" customHeight="1">
      <c r="A38" s="18" t="n"/>
      <c r="B38" s="19" t="n"/>
      <c r="C38" s="20">
        <f>IF(B38="","",IFERROR(VLOOKUP(B38,Cylinders!$A$6:$J$105,2,FALSE),"CHECK CYLINDER"))</f>
        <v/>
      </c>
      <c r="D38" s="19" t="n"/>
      <c r="E38" s="21" t="n"/>
      <c r="F38" s="19" t="n"/>
      <c r="G38" s="21" t="n"/>
      <c r="H38" s="21" t="n"/>
      <c r="I38" s="22" t="n"/>
      <c r="J38" s="22" t="n"/>
      <c r="K38" s="22" t="n"/>
      <c r="L38" s="23">
        <f>IF(B38="","","lb")</f>
        <v/>
      </c>
      <c r="M38" s="11">
        <f>IF(B38="","",IFERROR(VLOOKUP(B38,Cylinders!$A$6:$J$105,5,FALSE),""))</f>
        <v/>
      </c>
      <c r="N38" s="11">
        <f>IF(OR(B38="",Q38="Voided"),"",IF(COUNT(J38,M38)&lt;2,"",IFERROR(J38*M38,"")))</f>
        <v/>
      </c>
      <c r="O38" s="19" t="n"/>
      <c r="P38" s="19" t="n"/>
      <c r="Q38" s="19" t="n"/>
      <c r="R38" s="24">
        <f>IF(B38="","",IFERROR(VLOOKUP(B38,Cylinders!$A$6:$J$105,4,FALSE)-SUMIFS($I$6:I38,$B$6:B38,B38,$Q$6:Q38,"&lt;&gt;Voided")+SUMIFS($K$6:K38,$B$6:B38,B38,$Q$6:Q38,"&lt;&gt;Voided"),""))</f>
        <v/>
      </c>
      <c r="S38" s="23">
        <f>IF(B38="","",IF(OR(A38="",D38="",Q38=""),"CHECK REQUIRED INPUTS",IF(C38="CHECK CYLINDER","CHECK CYLINDER",IF(Q38="Voided","VOIDED",IF(COUNT(I38:K38)&lt;3,"CHECK QUANTITIES",IF(ABS(I38-J38-K38)&gt;Assumptions!$B$7,"CHECK QUANTITIES",IF(R38&lt;0,"CHECK NEGATIVE BALANCE",IF(R38&lt;IFERROR(VLOOKUP(B38,Cylinders!$A$6:$J$105,4,FALSE),0)*Assumptions!$B$6,"CHECK LOW BALANCE","OK")))))))</f>
        <v/>
      </c>
    </row>
    <row r="39" ht="30" customHeight="1">
      <c r="A39" s="18" t="n"/>
      <c r="B39" s="19" t="n"/>
      <c r="C39" s="25">
        <f>IF(B39="","",IFERROR(VLOOKUP(B39,Cylinders!$A$6:$J$105,2,FALSE),"CHECK CYLINDER"))</f>
        <v/>
      </c>
      <c r="D39" s="19" t="n"/>
      <c r="E39" s="21" t="n"/>
      <c r="F39" s="19" t="n"/>
      <c r="G39" s="21" t="n"/>
      <c r="H39" s="21" t="n"/>
      <c r="I39" s="22" t="n"/>
      <c r="J39" s="22" t="n"/>
      <c r="K39" s="22" t="n"/>
      <c r="L39" s="26">
        <f>IF(B39="","","lb")</f>
        <v/>
      </c>
      <c r="M39" s="27">
        <f>IF(B39="","",IFERROR(VLOOKUP(B39,Cylinders!$A$6:$J$105,5,FALSE),""))</f>
        <v/>
      </c>
      <c r="N39" s="27">
        <f>IF(OR(B39="",Q39="Voided"),"",IF(COUNT(J39,M39)&lt;2,"",IFERROR(J39*M39,"")))</f>
        <v/>
      </c>
      <c r="O39" s="19" t="n"/>
      <c r="P39" s="19" t="n"/>
      <c r="Q39" s="19" t="n"/>
      <c r="R39" s="28">
        <f>IF(B39="","",IFERROR(VLOOKUP(B39,Cylinders!$A$6:$J$105,4,FALSE)-SUMIFS($I$6:I39,$B$6:B39,B39,$Q$6:Q39,"&lt;&gt;Voided")+SUMIFS($K$6:K39,$B$6:B39,B39,$Q$6:Q39,"&lt;&gt;Voided"),""))</f>
        <v/>
      </c>
      <c r="S39" s="26">
        <f>IF(B39="","",IF(OR(A39="",D39="",Q39=""),"CHECK REQUIRED INPUTS",IF(C39="CHECK CYLINDER","CHECK CYLINDER",IF(Q39="Voided","VOIDED",IF(COUNT(I39:K39)&lt;3,"CHECK QUANTITIES",IF(ABS(I39-J39-K39)&gt;Assumptions!$B$7,"CHECK QUANTITIES",IF(R39&lt;0,"CHECK NEGATIVE BALANCE",IF(R39&lt;IFERROR(VLOOKUP(B39,Cylinders!$A$6:$J$105,4,FALSE),0)*Assumptions!$B$6,"CHECK LOW BALANCE","OK")))))))</f>
        <v/>
      </c>
    </row>
    <row r="40" ht="30" customHeight="1">
      <c r="A40" s="18" t="n"/>
      <c r="B40" s="19" t="n"/>
      <c r="C40" s="20">
        <f>IF(B40="","",IFERROR(VLOOKUP(B40,Cylinders!$A$6:$J$105,2,FALSE),"CHECK CYLINDER"))</f>
        <v/>
      </c>
      <c r="D40" s="19" t="n"/>
      <c r="E40" s="21" t="n"/>
      <c r="F40" s="19" t="n"/>
      <c r="G40" s="21" t="n"/>
      <c r="H40" s="21" t="n"/>
      <c r="I40" s="22" t="n"/>
      <c r="J40" s="22" t="n"/>
      <c r="K40" s="22" t="n"/>
      <c r="L40" s="23">
        <f>IF(B40="","","lb")</f>
        <v/>
      </c>
      <c r="M40" s="11">
        <f>IF(B40="","",IFERROR(VLOOKUP(B40,Cylinders!$A$6:$J$105,5,FALSE),""))</f>
        <v/>
      </c>
      <c r="N40" s="11">
        <f>IF(OR(B40="",Q40="Voided"),"",IF(COUNT(J40,M40)&lt;2,"",IFERROR(J40*M40,"")))</f>
        <v/>
      </c>
      <c r="O40" s="19" t="n"/>
      <c r="P40" s="19" t="n"/>
      <c r="Q40" s="19" t="n"/>
      <c r="R40" s="24">
        <f>IF(B40="","",IFERROR(VLOOKUP(B40,Cylinders!$A$6:$J$105,4,FALSE)-SUMIFS($I$6:I40,$B$6:B40,B40,$Q$6:Q40,"&lt;&gt;Voided")+SUMIFS($K$6:K40,$B$6:B40,B40,$Q$6:Q40,"&lt;&gt;Voided"),""))</f>
        <v/>
      </c>
      <c r="S40" s="23">
        <f>IF(B40="","",IF(OR(A40="",D40="",Q40=""),"CHECK REQUIRED INPUTS",IF(C40="CHECK CYLINDER","CHECK CYLINDER",IF(Q40="Voided","VOIDED",IF(COUNT(I40:K40)&lt;3,"CHECK QUANTITIES",IF(ABS(I40-J40-K40)&gt;Assumptions!$B$7,"CHECK QUANTITIES",IF(R40&lt;0,"CHECK NEGATIVE BALANCE",IF(R40&lt;IFERROR(VLOOKUP(B40,Cylinders!$A$6:$J$105,4,FALSE),0)*Assumptions!$B$6,"CHECK LOW BALANCE","OK")))))))</f>
        <v/>
      </c>
    </row>
    <row r="41" ht="30" customHeight="1">
      <c r="A41" s="18" t="n"/>
      <c r="B41" s="19" t="n"/>
      <c r="C41" s="25">
        <f>IF(B41="","",IFERROR(VLOOKUP(B41,Cylinders!$A$6:$J$105,2,FALSE),"CHECK CYLINDER"))</f>
        <v/>
      </c>
      <c r="D41" s="19" t="n"/>
      <c r="E41" s="21" t="n"/>
      <c r="F41" s="19" t="n"/>
      <c r="G41" s="21" t="n"/>
      <c r="H41" s="21" t="n"/>
      <c r="I41" s="22" t="n"/>
      <c r="J41" s="22" t="n"/>
      <c r="K41" s="22" t="n"/>
      <c r="L41" s="26">
        <f>IF(B41="","","lb")</f>
        <v/>
      </c>
      <c r="M41" s="27">
        <f>IF(B41="","",IFERROR(VLOOKUP(B41,Cylinders!$A$6:$J$105,5,FALSE),""))</f>
        <v/>
      </c>
      <c r="N41" s="27">
        <f>IF(OR(B41="",Q41="Voided"),"",IF(COUNT(J41,M41)&lt;2,"",IFERROR(J41*M41,"")))</f>
        <v/>
      </c>
      <c r="O41" s="19" t="n"/>
      <c r="P41" s="19" t="n"/>
      <c r="Q41" s="19" t="n"/>
      <c r="R41" s="28">
        <f>IF(B41="","",IFERROR(VLOOKUP(B41,Cylinders!$A$6:$J$105,4,FALSE)-SUMIFS($I$6:I41,$B$6:B41,B41,$Q$6:Q41,"&lt;&gt;Voided")+SUMIFS($K$6:K41,$B$6:B41,B41,$Q$6:Q41,"&lt;&gt;Voided"),""))</f>
        <v/>
      </c>
      <c r="S41" s="26">
        <f>IF(B41="","",IF(OR(A41="",D41="",Q41=""),"CHECK REQUIRED INPUTS",IF(C41="CHECK CYLINDER","CHECK CYLINDER",IF(Q41="Voided","VOIDED",IF(COUNT(I41:K41)&lt;3,"CHECK QUANTITIES",IF(ABS(I41-J41-K41)&gt;Assumptions!$B$7,"CHECK QUANTITIES",IF(R41&lt;0,"CHECK NEGATIVE BALANCE",IF(R41&lt;IFERROR(VLOOKUP(B41,Cylinders!$A$6:$J$105,4,FALSE),0)*Assumptions!$B$6,"CHECK LOW BALANCE","OK")))))))</f>
        <v/>
      </c>
    </row>
    <row r="42" ht="30" customHeight="1">
      <c r="A42" s="18" t="n"/>
      <c r="B42" s="19" t="n"/>
      <c r="C42" s="20">
        <f>IF(B42="","",IFERROR(VLOOKUP(B42,Cylinders!$A$6:$J$105,2,FALSE),"CHECK CYLINDER"))</f>
        <v/>
      </c>
      <c r="D42" s="19" t="n"/>
      <c r="E42" s="21" t="n"/>
      <c r="F42" s="19" t="n"/>
      <c r="G42" s="21" t="n"/>
      <c r="H42" s="21" t="n"/>
      <c r="I42" s="22" t="n"/>
      <c r="J42" s="22" t="n"/>
      <c r="K42" s="22" t="n"/>
      <c r="L42" s="23">
        <f>IF(B42="","","lb")</f>
        <v/>
      </c>
      <c r="M42" s="11">
        <f>IF(B42="","",IFERROR(VLOOKUP(B42,Cylinders!$A$6:$J$105,5,FALSE),""))</f>
        <v/>
      </c>
      <c r="N42" s="11">
        <f>IF(OR(B42="",Q42="Voided"),"",IF(COUNT(J42,M42)&lt;2,"",IFERROR(J42*M42,"")))</f>
        <v/>
      </c>
      <c r="O42" s="19" t="n"/>
      <c r="P42" s="19" t="n"/>
      <c r="Q42" s="19" t="n"/>
      <c r="R42" s="24">
        <f>IF(B42="","",IFERROR(VLOOKUP(B42,Cylinders!$A$6:$J$105,4,FALSE)-SUMIFS($I$6:I42,$B$6:B42,B42,$Q$6:Q42,"&lt;&gt;Voided")+SUMIFS($K$6:K42,$B$6:B42,B42,$Q$6:Q42,"&lt;&gt;Voided"),""))</f>
        <v/>
      </c>
      <c r="S42" s="23">
        <f>IF(B42="","",IF(OR(A42="",D42="",Q42=""),"CHECK REQUIRED INPUTS",IF(C42="CHECK CYLINDER","CHECK CYLINDER",IF(Q42="Voided","VOIDED",IF(COUNT(I42:K42)&lt;3,"CHECK QUANTITIES",IF(ABS(I42-J42-K42)&gt;Assumptions!$B$7,"CHECK QUANTITIES",IF(R42&lt;0,"CHECK NEGATIVE BALANCE",IF(R42&lt;IFERROR(VLOOKUP(B42,Cylinders!$A$6:$J$105,4,FALSE),0)*Assumptions!$B$6,"CHECK LOW BALANCE","OK")))))))</f>
        <v/>
      </c>
    </row>
    <row r="43" ht="30" customHeight="1">
      <c r="A43" s="18" t="n"/>
      <c r="B43" s="19" t="n"/>
      <c r="C43" s="25">
        <f>IF(B43="","",IFERROR(VLOOKUP(B43,Cylinders!$A$6:$J$105,2,FALSE),"CHECK CYLINDER"))</f>
        <v/>
      </c>
      <c r="D43" s="19" t="n"/>
      <c r="E43" s="21" t="n"/>
      <c r="F43" s="19" t="n"/>
      <c r="G43" s="21" t="n"/>
      <c r="H43" s="21" t="n"/>
      <c r="I43" s="22" t="n"/>
      <c r="J43" s="22" t="n"/>
      <c r="K43" s="22" t="n"/>
      <c r="L43" s="26">
        <f>IF(B43="","","lb")</f>
        <v/>
      </c>
      <c r="M43" s="27">
        <f>IF(B43="","",IFERROR(VLOOKUP(B43,Cylinders!$A$6:$J$105,5,FALSE),""))</f>
        <v/>
      </c>
      <c r="N43" s="27">
        <f>IF(OR(B43="",Q43="Voided"),"",IF(COUNT(J43,M43)&lt;2,"",IFERROR(J43*M43,"")))</f>
        <v/>
      </c>
      <c r="O43" s="19" t="n"/>
      <c r="P43" s="19" t="n"/>
      <c r="Q43" s="19" t="n"/>
      <c r="R43" s="28">
        <f>IF(B43="","",IFERROR(VLOOKUP(B43,Cylinders!$A$6:$J$105,4,FALSE)-SUMIFS($I$6:I43,$B$6:B43,B43,$Q$6:Q43,"&lt;&gt;Voided")+SUMIFS($K$6:K43,$B$6:B43,B43,$Q$6:Q43,"&lt;&gt;Voided"),""))</f>
        <v/>
      </c>
      <c r="S43" s="26">
        <f>IF(B43="","",IF(OR(A43="",D43="",Q43=""),"CHECK REQUIRED INPUTS",IF(C43="CHECK CYLINDER","CHECK CYLINDER",IF(Q43="Voided","VOIDED",IF(COUNT(I43:K43)&lt;3,"CHECK QUANTITIES",IF(ABS(I43-J43-K43)&gt;Assumptions!$B$7,"CHECK QUANTITIES",IF(R43&lt;0,"CHECK NEGATIVE BALANCE",IF(R43&lt;IFERROR(VLOOKUP(B43,Cylinders!$A$6:$J$105,4,FALSE),0)*Assumptions!$B$6,"CHECK LOW BALANCE","OK")))))))</f>
        <v/>
      </c>
    </row>
    <row r="44" ht="30" customHeight="1">
      <c r="A44" s="18" t="n"/>
      <c r="B44" s="19" t="n"/>
      <c r="C44" s="20">
        <f>IF(B44="","",IFERROR(VLOOKUP(B44,Cylinders!$A$6:$J$105,2,FALSE),"CHECK CYLINDER"))</f>
        <v/>
      </c>
      <c r="D44" s="19" t="n"/>
      <c r="E44" s="21" t="n"/>
      <c r="F44" s="19" t="n"/>
      <c r="G44" s="21" t="n"/>
      <c r="H44" s="21" t="n"/>
      <c r="I44" s="22" t="n"/>
      <c r="J44" s="22" t="n"/>
      <c r="K44" s="22" t="n"/>
      <c r="L44" s="23">
        <f>IF(B44="","","lb")</f>
        <v/>
      </c>
      <c r="M44" s="11">
        <f>IF(B44="","",IFERROR(VLOOKUP(B44,Cylinders!$A$6:$J$105,5,FALSE),""))</f>
        <v/>
      </c>
      <c r="N44" s="11">
        <f>IF(OR(B44="",Q44="Voided"),"",IF(COUNT(J44,M44)&lt;2,"",IFERROR(J44*M44,"")))</f>
        <v/>
      </c>
      <c r="O44" s="19" t="n"/>
      <c r="P44" s="19" t="n"/>
      <c r="Q44" s="19" t="n"/>
      <c r="R44" s="24">
        <f>IF(B44="","",IFERROR(VLOOKUP(B44,Cylinders!$A$6:$J$105,4,FALSE)-SUMIFS($I$6:I44,$B$6:B44,B44,$Q$6:Q44,"&lt;&gt;Voided")+SUMIFS($K$6:K44,$B$6:B44,B44,$Q$6:Q44,"&lt;&gt;Voided"),""))</f>
        <v/>
      </c>
      <c r="S44" s="23">
        <f>IF(B44="","",IF(OR(A44="",D44="",Q44=""),"CHECK REQUIRED INPUTS",IF(C44="CHECK CYLINDER","CHECK CYLINDER",IF(Q44="Voided","VOIDED",IF(COUNT(I44:K44)&lt;3,"CHECK QUANTITIES",IF(ABS(I44-J44-K44)&gt;Assumptions!$B$7,"CHECK QUANTITIES",IF(R44&lt;0,"CHECK NEGATIVE BALANCE",IF(R44&lt;IFERROR(VLOOKUP(B44,Cylinders!$A$6:$J$105,4,FALSE),0)*Assumptions!$B$6,"CHECK LOW BALANCE","OK")))))))</f>
        <v/>
      </c>
    </row>
    <row r="45" ht="30" customHeight="1">
      <c r="A45" s="18" t="n"/>
      <c r="B45" s="19" t="n"/>
      <c r="C45" s="25">
        <f>IF(B45="","",IFERROR(VLOOKUP(B45,Cylinders!$A$6:$J$105,2,FALSE),"CHECK CYLINDER"))</f>
        <v/>
      </c>
      <c r="D45" s="19" t="n"/>
      <c r="E45" s="21" t="n"/>
      <c r="F45" s="19" t="n"/>
      <c r="G45" s="21" t="n"/>
      <c r="H45" s="21" t="n"/>
      <c r="I45" s="22" t="n"/>
      <c r="J45" s="22" t="n"/>
      <c r="K45" s="22" t="n"/>
      <c r="L45" s="26">
        <f>IF(B45="","","lb")</f>
        <v/>
      </c>
      <c r="M45" s="27">
        <f>IF(B45="","",IFERROR(VLOOKUP(B45,Cylinders!$A$6:$J$105,5,FALSE),""))</f>
        <v/>
      </c>
      <c r="N45" s="27">
        <f>IF(OR(B45="",Q45="Voided"),"",IF(COUNT(J45,M45)&lt;2,"",IFERROR(J45*M45,"")))</f>
        <v/>
      </c>
      <c r="O45" s="19" t="n"/>
      <c r="P45" s="19" t="n"/>
      <c r="Q45" s="19" t="n"/>
      <c r="R45" s="28">
        <f>IF(B45="","",IFERROR(VLOOKUP(B45,Cylinders!$A$6:$J$105,4,FALSE)-SUMIFS($I$6:I45,$B$6:B45,B45,$Q$6:Q45,"&lt;&gt;Voided")+SUMIFS($K$6:K45,$B$6:B45,B45,$Q$6:Q45,"&lt;&gt;Voided"),""))</f>
        <v/>
      </c>
      <c r="S45" s="26">
        <f>IF(B45="","",IF(OR(A45="",D45="",Q45=""),"CHECK REQUIRED INPUTS",IF(C45="CHECK CYLINDER","CHECK CYLINDER",IF(Q45="Voided","VOIDED",IF(COUNT(I45:K45)&lt;3,"CHECK QUANTITIES",IF(ABS(I45-J45-K45)&gt;Assumptions!$B$7,"CHECK QUANTITIES",IF(R45&lt;0,"CHECK NEGATIVE BALANCE",IF(R45&lt;IFERROR(VLOOKUP(B45,Cylinders!$A$6:$J$105,4,FALSE),0)*Assumptions!$B$6,"CHECK LOW BALANCE","OK")))))))</f>
        <v/>
      </c>
    </row>
    <row r="46" ht="30" customHeight="1">
      <c r="A46" s="18" t="n"/>
      <c r="B46" s="19" t="n"/>
      <c r="C46" s="20">
        <f>IF(B46="","",IFERROR(VLOOKUP(B46,Cylinders!$A$6:$J$105,2,FALSE),"CHECK CYLINDER"))</f>
        <v/>
      </c>
      <c r="D46" s="19" t="n"/>
      <c r="E46" s="21" t="n"/>
      <c r="F46" s="19" t="n"/>
      <c r="G46" s="21" t="n"/>
      <c r="H46" s="21" t="n"/>
      <c r="I46" s="22" t="n"/>
      <c r="J46" s="22" t="n"/>
      <c r="K46" s="22" t="n"/>
      <c r="L46" s="23">
        <f>IF(B46="","","lb")</f>
        <v/>
      </c>
      <c r="M46" s="11">
        <f>IF(B46="","",IFERROR(VLOOKUP(B46,Cylinders!$A$6:$J$105,5,FALSE),""))</f>
        <v/>
      </c>
      <c r="N46" s="11">
        <f>IF(OR(B46="",Q46="Voided"),"",IF(COUNT(J46,M46)&lt;2,"",IFERROR(J46*M46,"")))</f>
        <v/>
      </c>
      <c r="O46" s="19" t="n"/>
      <c r="P46" s="19" t="n"/>
      <c r="Q46" s="19" t="n"/>
      <c r="R46" s="24">
        <f>IF(B46="","",IFERROR(VLOOKUP(B46,Cylinders!$A$6:$J$105,4,FALSE)-SUMIFS($I$6:I46,$B$6:B46,B46,$Q$6:Q46,"&lt;&gt;Voided")+SUMIFS($K$6:K46,$B$6:B46,B46,$Q$6:Q46,"&lt;&gt;Voided"),""))</f>
        <v/>
      </c>
      <c r="S46" s="23">
        <f>IF(B46="","",IF(OR(A46="",D46="",Q46=""),"CHECK REQUIRED INPUTS",IF(C46="CHECK CYLINDER","CHECK CYLINDER",IF(Q46="Voided","VOIDED",IF(COUNT(I46:K46)&lt;3,"CHECK QUANTITIES",IF(ABS(I46-J46-K46)&gt;Assumptions!$B$7,"CHECK QUANTITIES",IF(R46&lt;0,"CHECK NEGATIVE BALANCE",IF(R46&lt;IFERROR(VLOOKUP(B46,Cylinders!$A$6:$J$105,4,FALSE),0)*Assumptions!$B$6,"CHECK LOW BALANCE","OK")))))))</f>
        <v/>
      </c>
    </row>
    <row r="47" ht="30" customHeight="1">
      <c r="A47" s="18" t="n"/>
      <c r="B47" s="19" t="n"/>
      <c r="C47" s="25">
        <f>IF(B47="","",IFERROR(VLOOKUP(B47,Cylinders!$A$6:$J$105,2,FALSE),"CHECK CYLINDER"))</f>
        <v/>
      </c>
      <c r="D47" s="19" t="n"/>
      <c r="E47" s="21" t="n"/>
      <c r="F47" s="19" t="n"/>
      <c r="G47" s="21" t="n"/>
      <c r="H47" s="21" t="n"/>
      <c r="I47" s="22" t="n"/>
      <c r="J47" s="22" t="n"/>
      <c r="K47" s="22" t="n"/>
      <c r="L47" s="26">
        <f>IF(B47="","","lb")</f>
        <v/>
      </c>
      <c r="M47" s="27">
        <f>IF(B47="","",IFERROR(VLOOKUP(B47,Cylinders!$A$6:$J$105,5,FALSE),""))</f>
        <v/>
      </c>
      <c r="N47" s="27">
        <f>IF(OR(B47="",Q47="Voided"),"",IF(COUNT(J47,M47)&lt;2,"",IFERROR(J47*M47,"")))</f>
        <v/>
      </c>
      <c r="O47" s="19" t="n"/>
      <c r="P47" s="19" t="n"/>
      <c r="Q47" s="19" t="n"/>
      <c r="R47" s="28">
        <f>IF(B47="","",IFERROR(VLOOKUP(B47,Cylinders!$A$6:$J$105,4,FALSE)-SUMIFS($I$6:I47,$B$6:B47,B47,$Q$6:Q47,"&lt;&gt;Voided")+SUMIFS($K$6:K47,$B$6:B47,B47,$Q$6:Q47,"&lt;&gt;Voided"),""))</f>
        <v/>
      </c>
      <c r="S47" s="26">
        <f>IF(B47="","",IF(OR(A47="",D47="",Q47=""),"CHECK REQUIRED INPUTS",IF(C47="CHECK CYLINDER","CHECK CYLINDER",IF(Q47="Voided","VOIDED",IF(COUNT(I47:K47)&lt;3,"CHECK QUANTITIES",IF(ABS(I47-J47-K47)&gt;Assumptions!$B$7,"CHECK QUANTITIES",IF(R47&lt;0,"CHECK NEGATIVE BALANCE",IF(R47&lt;IFERROR(VLOOKUP(B47,Cylinders!$A$6:$J$105,4,FALSE),0)*Assumptions!$B$6,"CHECK LOW BALANCE","OK")))))))</f>
        <v/>
      </c>
    </row>
    <row r="48" ht="30" customHeight="1">
      <c r="A48" s="18" t="n"/>
      <c r="B48" s="19" t="n"/>
      <c r="C48" s="20">
        <f>IF(B48="","",IFERROR(VLOOKUP(B48,Cylinders!$A$6:$J$105,2,FALSE),"CHECK CYLINDER"))</f>
        <v/>
      </c>
      <c r="D48" s="19" t="n"/>
      <c r="E48" s="21" t="n"/>
      <c r="F48" s="19" t="n"/>
      <c r="G48" s="21" t="n"/>
      <c r="H48" s="21" t="n"/>
      <c r="I48" s="22" t="n"/>
      <c r="J48" s="22" t="n"/>
      <c r="K48" s="22" t="n"/>
      <c r="L48" s="23">
        <f>IF(B48="","","lb")</f>
        <v/>
      </c>
      <c r="M48" s="11">
        <f>IF(B48="","",IFERROR(VLOOKUP(B48,Cylinders!$A$6:$J$105,5,FALSE),""))</f>
        <v/>
      </c>
      <c r="N48" s="11">
        <f>IF(OR(B48="",Q48="Voided"),"",IF(COUNT(J48,M48)&lt;2,"",IFERROR(J48*M48,"")))</f>
        <v/>
      </c>
      <c r="O48" s="19" t="n"/>
      <c r="P48" s="19" t="n"/>
      <c r="Q48" s="19" t="n"/>
      <c r="R48" s="24">
        <f>IF(B48="","",IFERROR(VLOOKUP(B48,Cylinders!$A$6:$J$105,4,FALSE)-SUMIFS($I$6:I48,$B$6:B48,B48,$Q$6:Q48,"&lt;&gt;Voided")+SUMIFS($K$6:K48,$B$6:B48,B48,$Q$6:Q48,"&lt;&gt;Voided"),""))</f>
        <v/>
      </c>
      <c r="S48" s="23">
        <f>IF(B48="","",IF(OR(A48="",D48="",Q48=""),"CHECK REQUIRED INPUTS",IF(C48="CHECK CYLINDER","CHECK CYLINDER",IF(Q48="Voided","VOIDED",IF(COUNT(I48:K48)&lt;3,"CHECK QUANTITIES",IF(ABS(I48-J48-K48)&gt;Assumptions!$B$7,"CHECK QUANTITIES",IF(R48&lt;0,"CHECK NEGATIVE BALANCE",IF(R48&lt;IFERROR(VLOOKUP(B48,Cylinders!$A$6:$J$105,4,FALSE),0)*Assumptions!$B$6,"CHECK LOW BALANCE","OK")))))))</f>
        <v/>
      </c>
    </row>
    <row r="49" ht="30" customHeight="1">
      <c r="A49" s="18" t="n"/>
      <c r="B49" s="19" t="n"/>
      <c r="C49" s="25">
        <f>IF(B49="","",IFERROR(VLOOKUP(B49,Cylinders!$A$6:$J$105,2,FALSE),"CHECK CYLINDER"))</f>
        <v/>
      </c>
      <c r="D49" s="19" t="n"/>
      <c r="E49" s="21" t="n"/>
      <c r="F49" s="19" t="n"/>
      <c r="G49" s="21" t="n"/>
      <c r="H49" s="21" t="n"/>
      <c r="I49" s="22" t="n"/>
      <c r="J49" s="22" t="n"/>
      <c r="K49" s="22" t="n"/>
      <c r="L49" s="26">
        <f>IF(B49="","","lb")</f>
        <v/>
      </c>
      <c r="M49" s="27">
        <f>IF(B49="","",IFERROR(VLOOKUP(B49,Cylinders!$A$6:$J$105,5,FALSE),""))</f>
        <v/>
      </c>
      <c r="N49" s="27">
        <f>IF(OR(B49="",Q49="Voided"),"",IF(COUNT(J49,M49)&lt;2,"",IFERROR(J49*M49,"")))</f>
        <v/>
      </c>
      <c r="O49" s="19" t="n"/>
      <c r="P49" s="19" t="n"/>
      <c r="Q49" s="19" t="n"/>
      <c r="R49" s="28">
        <f>IF(B49="","",IFERROR(VLOOKUP(B49,Cylinders!$A$6:$J$105,4,FALSE)-SUMIFS($I$6:I49,$B$6:B49,B49,$Q$6:Q49,"&lt;&gt;Voided")+SUMIFS($K$6:K49,$B$6:B49,B49,$Q$6:Q49,"&lt;&gt;Voided"),""))</f>
        <v/>
      </c>
      <c r="S49" s="26">
        <f>IF(B49="","",IF(OR(A49="",D49="",Q49=""),"CHECK REQUIRED INPUTS",IF(C49="CHECK CYLINDER","CHECK CYLINDER",IF(Q49="Voided","VOIDED",IF(COUNT(I49:K49)&lt;3,"CHECK QUANTITIES",IF(ABS(I49-J49-K49)&gt;Assumptions!$B$7,"CHECK QUANTITIES",IF(R49&lt;0,"CHECK NEGATIVE BALANCE",IF(R49&lt;IFERROR(VLOOKUP(B49,Cylinders!$A$6:$J$105,4,FALSE),0)*Assumptions!$B$6,"CHECK LOW BALANCE","OK")))))))</f>
        <v/>
      </c>
    </row>
    <row r="50" ht="30" customHeight="1">
      <c r="A50" s="18" t="n"/>
      <c r="B50" s="19" t="n"/>
      <c r="C50" s="20">
        <f>IF(B50="","",IFERROR(VLOOKUP(B50,Cylinders!$A$6:$J$105,2,FALSE),"CHECK CYLINDER"))</f>
        <v/>
      </c>
      <c r="D50" s="19" t="n"/>
      <c r="E50" s="21" t="n"/>
      <c r="F50" s="19" t="n"/>
      <c r="G50" s="21" t="n"/>
      <c r="H50" s="21" t="n"/>
      <c r="I50" s="22" t="n"/>
      <c r="J50" s="22" t="n"/>
      <c r="K50" s="22" t="n"/>
      <c r="L50" s="23">
        <f>IF(B50="","","lb")</f>
        <v/>
      </c>
      <c r="M50" s="11">
        <f>IF(B50="","",IFERROR(VLOOKUP(B50,Cylinders!$A$6:$J$105,5,FALSE),""))</f>
        <v/>
      </c>
      <c r="N50" s="11">
        <f>IF(OR(B50="",Q50="Voided"),"",IF(COUNT(J50,M50)&lt;2,"",IFERROR(J50*M50,"")))</f>
        <v/>
      </c>
      <c r="O50" s="19" t="n"/>
      <c r="P50" s="19" t="n"/>
      <c r="Q50" s="19" t="n"/>
      <c r="R50" s="24">
        <f>IF(B50="","",IFERROR(VLOOKUP(B50,Cylinders!$A$6:$J$105,4,FALSE)-SUMIFS($I$6:I50,$B$6:B50,B50,$Q$6:Q50,"&lt;&gt;Voided")+SUMIFS($K$6:K50,$B$6:B50,B50,$Q$6:Q50,"&lt;&gt;Voided"),""))</f>
        <v/>
      </c>
      <c r="S50" s="23">
        <f>IF(B50="","",IF(OR(A50="",D50="",Q50=""),"CHECK REQUIRED INPUTS",IF(C50="CHECK CYLINDER","CHECK CYLINDER",IF(Q50="Voided","VOIDED",IF(COUNT(I50:K50)&lt;3,"CHECK QUANTITIES",IF(ABS(I50-J50-K50)&gt;Assumptions!$B$7,"CHECK QUANTITIES",IF(R50&lt;0,"CHECK NEGATIVE BALANCE",IF(R50&lt;IFERROR(VLOOKUP(B50,Cylinders!$A$6:$J$105,4,FALSE),0)*Assumptions!$B$6,"CHECK LOW BALANCE","OK")))))))</f>
        <v/>
      </c>
    </row>
    <row r="51" ht="30" customHeight="1">
      <c r="A51" s="18" t="n"/>
      <c r="B51" s="19" t="n"/>
      <c r="C51" s="25">
        <f>IF(B51="","",IFERROR(VLOOKUP(B51,Cylinders!$A$6:$J$105,2,FALSE),"CHECK CYLINDER"))</f>
        <v/>
      </c>
      <c r="D51" s="19" t="n"/>
      <c r="E51" s="21" t="n"/>
      <c r="F51" s="19" t="n"/>
      <c r="G51" s="21" t="n"/>
      <c r="H51" s="21" t="n"/>
      <c r="I51" s="22" t="n"/>
      <c r="J51" s="22" t="n"/>
      <c r="K51" s="22" t="n"/>
      <c r="L51" s="26">
        <f>IF(B51="","","lb")</f>
        <v/>
      </c>
      <c r="M51" s="27">
        <f>IF(B51="","",IFERROR(VLOOKUP(B51,Cylinders!$A$6:$J$105,5,FALSE),""))</f>
        <v/>
      </c>
      <c r="N51" s="27">
        <f>IF(OR(B51="",Q51="Voided"),"",IF(COUNT(J51,M51)&lt;2,"",IFERROR(J51*M51,"")))</f>
        <v/>
      </c>
      <c r="O51" s="19" t="n"/>
      <c r="P51" s="19" t="n"/>
      <c r="Q51" s="19" t="n"/>
      <c r="R51" s="28">
        <f>IF(B51="","",IFERROR(VLOOKUP(B51,Cylinders!$A$6:$J$105,4,FALSE)-SUMIFS($I$6:I51,$B$6:B51,B51,$Q$6:Q51,"&lt;&gt;Voided")+SUMIFS($K$6:K51,$B$6:B51,B51,$Q$6:Q51,"&lt;&gt;Voided"),""))</f>
        <v/>
      </c>
      <c r="S51" s="26">
        <f>IF(B51="","",IF(OR(A51="",D51="",Q51=""),"CHECK REQUIRED INPUTS",IF(C51="CHECK CYLINDER","CHECK CYLINDER",IF(Q51="Voided","VOIDED",IF(COUNT(I51:K51)&lt;3,"CHECK QUANTITIES",IF(ABS(I51-J51-K51)&gt;Assumptions!$B$7,"CHECK QUANTITIES",IF(R51&lt;0,"CHECK NEGATIVE BALANCE",IF(R51&lt;IFERROR(VLOOKUP(B51,Cylinders!$A$6:$J$105,4,FALSE),0)*Assumptions!$B$6,"CHECK LOW BALANCE","OK")))))))</f>
        <v/>
      </c>
    </row>
    <row r="52" ht="30" customHeight="1">
      <c r="A52" s="18" t="n"/>
      <c r="B52" s="19" t="n"/>
      <c r="C52" s="20">
        <f>IF(B52="","",IFERROR(VLOOKUP(B52,Cylinders!$A$6:$J$105,2,FALSE),"CHECK CYLINDER"))</f>
        <v/>
      </c>
      <c r="D52" s="19" t="n"/>
      <c r="E52" s="21" t="n"/>
      <c r="F52" s="19" t="n"/>
      <c r="G52" s="21" t="n"/>
      <c r="H52" s="21" t="n"/>
      <c r="I52" s="22" t="n"/>
      <c r="J52" s="22" t="n"/>
      <c r="K52" s="22" t="n"/>
      <c r="L52" s="23">
        <f>IF(B52="","","lb")</f>
        <v/>
      </c>
      <c r="M52" s="11">
        <f>IF(B52="","",IFERROR(VLOOKUP(B52,Cylinders!$A$6:$J$105,5,FALSE),""))</f>
        <v/>
      </c>
      <c r="N52" s="11">
        <f>IF(OR(B52="",Q52="Voided"),"",IF(COUNT(J52,M52)&lt;2,"",IFERROR(J52*M52,"")))</f>
        <v/>
      </c>
      <c r="O52" s="19" t="n"/>
      <c r="P52" s="19" t="n"/>
      <c r="Q52" s="19" t="n"/>
      <c r="R52" s="24">
        <f>IF(B52="","",IFERROR(VLOOKUP(B52,Cylinders!$A$6:$J$105,4,FALSE)-SUMIFS($I$6:I52,$B$6:B52,B52,$Q$6:Q52,"&lt;&gt;Voided")+SUMIFS($K$6:K52,$B$6:B52,B52,$Q$6:Q52,"&lt;&gt;Voided"),""))</f>
        <v/>
      </c>
      <c r="S52" s="23">
        <f>IF(B52="","",IF(OR(A52="",D52="",Q52=""),"CHECK REQUIRED INPUTS",IF(C52="CHECK CYLINDER","CHECK CYLINDER",IF(Q52="Voided","VOIDED",IF(COUNT(I52:K52)&lt;3,"CHECK QUANTITIES",IF(ABS(I52-J52-K52)&gt;Assumptions!$B$7,"CHECK QUANTITIES",IF(R52&lt;0,"CHECK NEGATIVE BALANCE",IF(R52&lt;IFERROR(VLOOKUP(B52,Cylinders!$A$6:$J$105,4,FALSE),0)*Assumptions!$B$6,"CHECK LOW BALANCE","OK")))))))</f>
        <v/>
      </c>
    </row>
    <row r="53" ht="30" customHeight="1">
      <c r="A53" s="18" t="n"/>
      <c r="B53" s="19" t="n"/>
      <c r="C53" s="25">
        <f>IF(B53="","",IFERROR(VLOOKUP(B53,Cylinders!$A$6:$J$105,2,FALSE),"CHECK CYLINDER"))</f>
        <v/>
      </c>
      <c r="D53" s="19" t="n"/>
      <c r="E53" s="21" t="n"/>
      <c r="F53" s="19" t="n"/>
      <c r="G53" s="21" t="n"/>
      <c r="H53" s="21" t="n"/>
      <c r="I53" s="22" t="n"/>
      <c r="J53" s="22" t="n"/>
      <c r="K53" s="22" t="n"/>
      <c r="L53" s="26">
        <f>IF(B53="","","lb")</f>
        <v/>
      </c>
      <c r="M53" s="27">
        <f>IF(B53="","",IFERROR(VLOOKUP(B53,Cylinders!$A$6:$J$105,5,FALSE),""))</f>
        <v/>
      </c>
      <c r="N53" s="27">
        <f>IF(OR(B53="",Q53="Voided"),"",IF(COUNT(J53,M53)&lt;2,"",IFERROR(J53*M53,"")))</f>
        <v/>
      </c>
      <c r="O53" s="19" t="n"/>
      <c r="P53" s="19" t="n"/>
      <c r="Q53" s="19" t="n"/>
      <c r="R53" s="28">
        <f>IF(B53="","",IFERROR(VLOOKUP(B53,Cylinders!$A$6:$J$105,4,FALSE)-SUMIFS($I$6:I53,$B$6:B53,B53,$Q$6:Q53,"&lt;&gt;Voided")+SUMIFS($K$6:K53,$B$6:B53,B53,$Q$6:Q53,"&lt;&gt;Voided"),""))</f>
        <v/>
      </c>
      <c r="S53" s="26">
        <f>IF(B53="","",IF(OR(A53="",D53="",Q53=""),"CHECK REQUIRED INPUTS",IF(C53="CHECK CYLINDER","CHECK CYLINDER",IF(Q53="Voided","VOIDED",IF(COUNT(I53:K53)&lt;3,"CHECK QUANTITIES",IF(ABS(I53-J53-K53)&gt;Assumptions!$B$7,"CHECK QUANTITIES",IF(R53&lt;0,"CHECK NEGATIVE BALANCE",IF(R53&lt;IFERROR(VLOOKUP(B53,Cylinders!$A$6:$J$105,4,FALSE),0)*Assumptions!$B$6,"CHECK LOW BALANCE","OK")))))))</f>
        <v/>
      </c>
    </row>
    <row r="54" ht="30" customHeight="1">
      <c r="A54" s="18" t="n"/>
      <c r="B54" s="19" t="n"/>
      <c r="C54" s="20">
        <f>IF(B54="","",IFERROR(VLOOKUP(B54,Cylinders!$A$6:$J$105,2,FALSE),"CHECK CYLINDER"))</f>
        <v/>
      </c>
      <c r="D54" s="19" t="n"/>
      <c r="E54" s="21" t="n"/>
      <c r="F54" s="19" t="n"/>
      <c r="G54" s="21" t="n"/>
      <c r="H54" s="21" t="n"/>
      <c r="I54" s="22" t="n"/>
      <c r="J54" s="22" t="n"/>
      <c r="K54" s="22" t="n"/>
      <c r="L54" s="23">
        <f>IF(B54="","","lb")</f>
        <v/>
      </c>
      <c r="M54" s="11">
        <f>IF(B54="","",IFERROR(VLOOKUP(B54,Cylinders!$A$6:$J$105,5,FALSE),""))</f>
        <v/>
      </c>
      <c r="N54" s="11">
        <f>IF(OR(B54="",Q54="Voided"),"",IF(COUNT(J54,M54)&lt;2,"",IFERROR(J54*M54,"")))</f>
        <v/>
      </c>
      <c r="O54" s="19" t="n"/>
      <c r="P54" s="19" t="n"/>
      <c r="Q54" s="19" t="n"/>
      <c r="R54" s="24">
        <f>IF(B54="","",IFERROR(VLOOKUP(B54,Cylinders!$A$6:$J$105,4,FALSE)-SUMIFS($I$6:I54,$B$6:B54,B54,$Q$6:Q54,"&lt;&gt;Voided")+SUMIFS($K$6:K54,$B$6:B54,B54,$Q$6:Q54,"&lt;&gt;Voided"),""))</f>
        <v/>
      </c>
      <c r="S54" s="23">
        <f>IF(B54="","",IF(OR(A54="",D54="",Q54=""),"CHECK REQUIRED INPUTS",IF(C54="CHECK CYLINDER","CHECK CYLINDER",IF(Q54="Voided","VOIDED",IF(COUNT(I54:K54)&lt;3,"CHECK QUANTITIES",IF(ABS(I54-J54-K54)&gt;Assumptions!$B$7,"CHECK QUANTITIES",IF(R54&lt;0,"CHECK NEGATIVE BALANCE",IF(R54&lt;IFERROR(VLOOKUP(B54,Cylinders!$A$6:$J$105,4,FALSE),0)*Assumptions!$B$6,"CHECK LOW BALANCE","OK")))))))</f>
        <v/>
      </c>
    </row>
    <row r="55" ht="30" customHeight="1">
      <c r="A55" s="18" t="n"/>
      <c r="B55" s="19" t="n"/>
      <c r="C55" s="25">
        <f>IF(B55="","",IFERROR(VLOOKUP(B55,Cylinders!$A$6:$J$105,2,FALSE),"CHECK CYLINDER"))</f>
        <v/>
      </c>
      <c r="D55" s="19" t="n"/>
      <c r="E55" s="21" t="n"/>
      <c r="F55" s="19" t="n"/>
      <c r="G55" s="21" t="n"/>
      <c r="H55" s="21" t="n"/>
      <c r="I55" s="22" t="n"/>
      <c r="J55" s="22" t="n"/>
      <c r="K55" s="22" t="n"/>
      <c r="L55" s="26">
        <f>IF(B55="","","lb")</f>
        <v/>
      </c>
      <c r="M55" s="27">
        <f>IF(B55="","",IFERROR(VLOOKUP(B55,Cylinders!$A$6:$J$105,5,FALSE),""))</f>
        <v/>
      </c>
      <c r="N55" s="27">
        <f>IF(OR(B55="",Q55="Voided"),"",IF(COUNT(J55,M55)&lt;2,"",IFERROR(J55*M55,"")))</f>
        <v/>
      </c>
      <c r="O55" s="19" t="n"/>
      <c r="P55" s="19" t="n"/>
      <c r="Q55" s="19" t="n"/>
      <c r="R55" s="28">
        <f>IF(B55="","",IFERROR(VLOOKUP(B55,Cylinders!$A$6:$J$105,4,FALSE)-SUMIFS($I$6:I55,$B$6:B55,B55,$Q$6:Q55,"&lt;&gt;Voided")+SUMIFS($K$6:K55,$B$6:B55,B55,$Q$6:Q55,"&lt;&gt;Voided"),""))</f>
        <v/>
      </c>
      <c r="S55" s="26">
        <f>IF(B55="","",IF(OR(A55="",D55="",Q55=""),"CHECK REQUIRED INPUTS",IF(C55="CHECK CYLINDER","CHECK CYLINDER",IF(Q55="Voided","VOIDED",IF(COUNT(I55:K55)&lt;3,"CHECK QUANTITIES",IF(ABS(I55-J55-K55)&gt;Assumptions!$B$7,"CHECK QUANTITIES",IF(R55&lt;0,"CHECK NEGATIVE BALANCE",IF(R55&lt;IFERROR(VLOOKUP(B55,Cylinders!$A$6:$J$105,4,FALSE),0)*Assumptions!$B$6,"CHECK LOW BALANCE","OK")))))))</f>
        <v/>
      </c>
    </row>
    <row r="56" ht="30" customHeight="1">
      <c r="A56" s="18" t="n"/>
      <c r="B56" s="19" t="n"/>
      <c r="C56" s="20">
        <f>IF(B56="","",IFERROR(VLOOKUP(B56,Cylinders!$A$6:$J$105,2,FALSE),"CHECK CYLINDER"))</f>
        <v/>
      </c>
      <c r="D56" s="19" t="n"/>
      <c r="E56" s="21" t="n"/>
      <c r="F56" s="19" t="n"/>
      <c r="G56" s="21" t="n"/>
      <c r="H56" s="21" t="n"/>
      <c r="I56" s="22" t="n"/>
      <c r="J56" s="22" t="n"/>
      <c r="K56" s="22" t="n"/>
      <c r="L56" s="23">
        <f>IF(B56="","","lb")</f>
        <v/>
      </c>
      <c r="M56" s="11">
        <f>IF(B56="","",IFERROR(VLOOKUP(B56,Cylinders!$A$6:$J$105,5,FALSE),""))</f>
        <v/>
      </c>
      <c r="N56" s="11">
        <f>IF(OR(B56="",Q56="Voided"),"",IF(COUNT(J56,M56)&lt;2,"",IFERROR(J56*M56,"")))</f>
        <v/>
      </c>
      <c r="O56" s="19" t="n"/>
      <c r="P56" s="19" t="n"/>
      <c r="Q56" s="19" t="n"/>
      <c r="R56" s="24">
        <f>IF(B56="","",IFERROR(VLOOKUP(B56,Cylinders!$A$6:$J$105,4,FALSE)-SUMIFS($I$6:I56,$B$6:B56,B56,$Q$6:Q56,"&lt;&gt;Voided")+SUMIFS($K$6:K56,$B$6:B56,B56,$Q$6:Q56,"&lt;&gt;Voided"),""))</f>
        <v/>
      </c>
      <c r="S56" s="23">
        <f>IF(B56="","",IF(OR(A56="",D56="",Q56=""),"CHECK REQUIRED INPUTS",IF(C56="CHECK CYLINDER","CHECK CYLINDER",IF(Q56="Voided","VOIDED",IF(COUNT(I56:K56)&lt;3,"CHECK QUANTITIES",IF(ABS(I56-J56-K56)&gt;Assumptions!$B$7,"CHECK QUANTITIES",IF(R56&lt;0,"CHECK NEGATIVE BALANCE",IF(R56&lt;IFERROR(VLOOKUP(B56,Cylinders!$A$6:$J$105,4,FALSE),0)*Assumptions!$B$6,"CHECK LOW BALANCE","OK")))))))</f>
        <v/>
      </c>
    </row>
    <row r="57" ht="30" customHeight="1">
      <c r="A57" s="18" t="n"/>
      <c r="B57" s="19" t="n"/>
      <c r="C57" s="25">
        <f>IF(B57="","",IFERROR(VLOOKUP(B57,Cylinders!$A$6:$J$105,2,FALSE),"CHECK CYLINDER"))</f>
        <v/>
      </c>
      <c r="D57" s="19" t="n"/>
      <c r="E57" s="21" t="n"/>
      <c r="F57" s="19" t="n"/>
      <c r="G57" s="21" t="n"/>
      <c r="H57" s="21" t="n"/>
      <c r="I57" s="22" t="n"/>
      <c r="J57" s="22" t="n"/>
      <c r="K57" s="22" t="n"/>
      <c r="L57" s="26">
        <f>IF(B57="","","lb")</f>
        <v/>
      </c>
      <c r="M57" s="27">
        <f>IF(B57="","",IFERROR(VLOOKUP(B57,Cylinders!$A$6:$J$105,5,FALSE),""))</f>
        <v/>
      </c>
      <c r="N57" s="27">
        <f>IF(OR(B57="",Q57="Voided"),"",IF(COUNT(J57,M57)&lt;2,"",IFERROR(J57*M57,"")))</f>
        <v/>
      </c>
      <c r="O57" s="19" t="n"/>
      <c r="P57" s="19" t="n"/>
      <c r="Q57" s="19" t="n"/>
      <c r="R57" s="28">
        <f>IF(B57="","",IFERROR(VLOOKUP(B57,Cylinders!$A$6:$J$105,4,FALSE)-SUMIFS($I$6:I57,$B$6:B57,B57,$Q$6:Q57,"&lt;&gt;Voided")+SUMIFS($K$6:K57,$B$6:B57,B57,$Q$6:Q57,"&lt;&gt;Voided"),""))</f>
        <v/>
      </c>
      <c r="S57" s="26">
        <f>IF(B57="","",IF(OR(A57="",D57="",Q57=""),"CHECK REQUIRED INPUTS",IF(C57="CHECK CYLINDER","CHECK CYLINDER",IF(Q57="Voided","VOIDED",IF(COUNT(I57:K57)&lt;3,"CHECK QUANTITIES",IF(ABS(I57-J57-K57)&gt;Assumptions!$B$7,"CHECK QUANTITIES",IF(R57&lt;0,"CHECK NEGATIVE BALANCE",IF(R57&lt;IFERROR(VLOOKUP(B57,Cylinders!$A$6:$J$105,4,FALSE),0)*Assumptions!$B$6,"CHECK LOW BALANCE","OK")))))))</f>
        <v/>
      </c>
    </row>
    <row r="58" ht="30" customHeight="1">
      <c r="A58" s="18" t="n"/>
      <c r="B58" s="19" t="n"/>
      <c r="C58" s="20">
        <f>IF(B58="","",IFERROR(VLOOKUP(B58,Cylinders!$A$6:$J$105,2,FALSE),"CHECK CYLINDER"))</f>
        <v/>
      </c>
      <c r="D58" s="19" t="n"/>
      <c r="E58" s="21" t="n"/>
      <c r="F58" s="19" t="n"/>
      <c r="G58" s="21" t="n"/>
      <c r="H58" s="21" t="n"/>
      <c r="I58" s="22" t="n"/>
      <c r="J58" s="22" t="n"/>
      <c r="K58" s="22" t="n"/>
      <c r="L58" s="23">
        <f>IF(B58="","","lb")</f>
        <v/>
      </c>
      <c r="M58" s="11">
        <f>IF(B58="","",IFERROR(VLOOKUP(B58,Cylinders!$A$6:$J$105,5,FALSE),""))</f>
        <v/>
      </c>
      <c r="N58" s="11">
        <f>IF(OR(B58="",Q58="Voided"),"",IF(COUNT(J58,M58)&lt;2,"",IFERROR(J58*M58,"")))</f>
        <v/>
      </c>
      <c r="O58" s="19" t="n"/>
      <c r="P58" s="19" t="n"/>
      <c r="Q58" s="19" t="n"/>
      <c r="R58" s="24">
        <f>IF(B58="","",IFERROR(VLOOKUP(B58,Cylinders!$A$6:$J$105,4,FALSE)-SUMIFS($I$6:I58,$B$6:B58,B58,$Q$6:Q58,"&lt;&gt;Voided")+SUMIFS($K$6:K58,$B$6:B58,B58,$Q$6:Q58,"&lt;&gt;Voided"),""))</f>
        <v/>
      </c>
      <c r="S58" s="23">
        <f>IF(B58="","",IF(OR(A58="",D58="",Q58=""),"CHECK REQUIRED INPUTS",IF(C58="CHECK CYLINDER","CHECK CYLINDER",IF(Q58="Voided","VOIDED",IF(COUNT(I58:K58)&lt;3,"CHECK QUANTITIES",IF(ABS(I58-J58-K58)&gt;Assumptions!$B$7,"CHECK QUANTITIES",IF(R58&lt;0,"CHECK NEGATIVE BALANCE",IF(R58&lt;IFERROR(VLOOKUP(B58,Cylinders!$A$6:$J$105,4,FALSE),0)*Assumptions!$B$6,"CHECK LOW BALANCE","OK")))))))</f>
        <v/>
      </c>
    </row>
    <row r="59" ht="30" customHeight="1">
      <c r="A59" s="18" t="n"/>
      <c r="B59" s="19" t="n"/>
      <c r="C59" s="25">
        <f>IF(B59="","",IFERROR(VLOOKUP(B59,Cylinders!$A$6:$J$105,2,FALSE),"CHECK CYLINDER"))</f>
        <v/>
      </c>
      <c r="D59" s="19" t="n"/>
      <c r="E59" s="21" t="n"/>
      <c r="F59" s="19" t="n"/>
      <c r="G59" s="21" t="n"/>
      <c r="H59" s="21" t="n"/>
      <c r="I59" s="22" t="n"/>
      <c r="J59" s="22" t="n"/>
      <c r="K59" s="22" t="n"/>
      <c r="L59" s="26">
        <f>IF(B59="","","lb")</f>
        <v/>
      </c>
      <c r="M59" s="27">
        <f>IF(B59="","",IFERROR(VLOOKUP(B59,Cylinders!$A$6:$J$105,5,FALSE),""))</f>
        <v/>
      </c>
      <c r="N59" s="27">
        <f>IF(OR(B59="",Q59="Voided"),"",IF(COUNT(J59,M59)&lt;2,"",IFERROR(J59*M59,"")))</f>
        <v/>
      </c>
      <c r="O59" s="19" t="n"/>
      <c r="P59" s="19" t="n"/>
      <c r="Q59" s="19" t="n"/>
      <c r="R59" s="28">
        <f>IF(B59="","",IFERROR(VLOOKUP(B59,Cylinders!$A$6:$J$105,4,FALSE)-SUMIFS($I$6:I59,$B$6:B59,B59,$Q$6:Q59,"&lt;&gt;Voided")+SUMIFS($K$6:K59,$B$6:B59,B59,$Q$6:Q59,"&lt;&gt;Voided"),""))</f>
        <v/>
      </c>
      <c r="S59" s="26">
        <f>IF(B59="","",IF(OR(A59="",D59="",Q59=""),"CHECK REQUIRED INPUTS",IF(C59="CHECK CYLINDER","CHECK CYLINDER",IF(Q59="Voided","VOIDED",IF(COUNT(I59:K59)&lt;3,"CHECK QUANTITIES",IF(ABS(I59-J59-K59)&gt;Assumptions!$B$7,"CHECK QUANTITIES",IF(R59&lt;0,"CHECK NEGATIVE BALANCE",IF(R59&lt;IFERROR(VLOOKUP(B59,Cylinders!$A$6:$J$105,4,FALSE),0)*Assumptions!$B$6,"CHECK LOW BALANCE","OK")))))))</f>
        <v/>
      </c>
    </row>
    <row r="60" ht="30" customHeight="1">
      <c r="A60" s="18" t="n"/>
      <c r="B60" s="19" t="n"/>
      <c r="C60" s="20">
        <f>IF(B60="","",IFERROR(VLOOKUP(B60,Cylinders!$A$6:$J$105,2,FALSE),"CHECK CYLINDER"))</f>
        <v/>
      </c>
      <c r="D60" s="19" t="n"/>
      <c r="E60" s="21" t="n"/>
      <c r="F60" s="19" t="n"/>
      <c r="G60" s="21" t="n"/>
      <c r="H60" s="21" t="n"/>
      <c r="I60" s="22" t="n"/>
      <c r="J60" s="22" t="n"/>
      <c r="K60" s="22" t="n"/>
      <c r="L60" s="23">
        <f>IF(B60="","","lb")</f>
        <v/>
      </c>
      <c r="M60" s="11">
        <f>IF(B60="","",IFERROR(VLOOKUP(B60,Cylinders!$A$6:$J$105,5,FALSE),""))</f>
        <v/>
      </c>
      <c r="N60" s="11">
        <f>IF(OR(B60="",Q60="Voided"),"",IF(COUNT(J60,M60)&lt;2,"",IFERROR(J60*M60,"")))</f>
        <v/>
      </c>
      <c r="O60" s="19" t="n"/>
      <c r="P60" s="19" t="n"/>
      <c r="Q60" s="19" t="n"/>
      <c r="R60" s="24">
        <f>IF(B60="","",IFERROR(VLOOKUP(B60,Cylinders!$A$6:$J$105,4,FALSE)-SUMIFS($I$6:I60,$B$6:B60,B60,$Q$6:Q60,"&lt;&gt;Voided")+SUMIFS($K$6:K60,$B$6:B60,B60,$Q$6:Q60,"&lt;&gt;Voided"),""))</f>
        <v/>
      </c>
      <c r="S60" s="23">
        <f>IF(B60="","",IF(OR(A60="",D60="",Q60=""),"CHECK REQUIRED INPUTS",IF(C60="CHECK CYLINDER","CHECK CYLINDER",IF(Q60="Voided","VOIDED",IF(COUNT(I60:K60)&lt;3,"CHECK QUANTITIES",IF(ABS(I60-J60-K60)&gt;Assumptions!$B$7,"CHECK QUANTITIES",IF(R60&lt;0,"CHECK NEGATIVE BALANCE",IF(R60&lt;IFERROR(VLOOKUP(B60,Cylinders!$A$6:$J$105,4,FALSE),0)*Assumptions!$B$6,"CHECK LOW BALANCE","OK")))))))</f>
        <v/>
      </c>
    </row>
    <row r="61" ht="30" customHeight="1">
      <c r="A61" s="18" t="n"/>
      <c r="B61" s="19" t="n"/>
      <c r="C61" s="25">
        <f>IF(B61="","",IFERROR(VLOOKUP(B61,Cylinders!$A$6:$J$105,2,FALSE),"CHECK CYLINDER"))</f>
        <v/>
      </c>
      <c r="D61" s="19" t="n"/>
      <c r="E61" s="21" t="n"/>
      <c r="F61" s="19" t="n"/>
      <c r="G61" s="21" t="n"/>
      <c r="H61" s="21" t="n"/>
      <c r="I61" s="22" t="n"/>
      <c r="J61" s="22" t="n"/>
      <c r="K61" s="22" t="n"/>
      <c r="L61" s="26">
        <f>IF(B61="","","lb")</f>
        <v/>
      </c>
      <c r="M61" s="27">
        <f>IF(B61="","",IFERROR(VLOOKUP(B61,Cylinders!$A$6:$J$105,5,FALSE),""))</f>
        <v/>
      </c>
      <c r="N61" s="27">
        <f>IF(OR(B61="",Q61="Voided"),"",IF(COUNT(J61,M61)&lt;2,"",IFERROR(J61*M61,"")))</f>
        <v/>
      </c>
      <c r="O61" s="19" t="n"/>
      <c r="P61" s="19" t="n"/>
      <c r="Q61" s="19" t="n"/>
      <c r="R61" s="28">
        <f>IF(B61="","",IFERROR(VLOOKUP(B61,Cylinders!$A$6:$J$105,4,FALSE)-SUMIFS($I$6:I61,$B$6:B61,B61,$Q$6:Q61,"&lt;&gt;Voided")+SUMIFS($K$6:K61,$B$6:B61,B61,$Q$6:Q61,"&lt;&gt;Voided"),""))</f>
        <v/>
      </c>
      <c r="S61" s="26">
        <f>IF(B61="","",IF(OR(A61="",D61="",Q61=""),"CHECK REQUIRED INPUTS",IF(C61="CHECK CYLINDER","CHECK CYLINDER",IF(Q61="Voided","VOIDED",IF(COUNT(I61:K61)&lt;3,"CHECK QUANTITIES",IF(ABS(I61-J61-K61)&gt;Assumptions!$B$7,"CHECK QUANTITIES",IF(R61&lt;0,"CHECK NEGATIVE BALANCE",IF(R61&lt;IFERROR(VLOOKUP(B61,Cylinders!$A$6:$J$105,4,FALSE),0)*Assumptions!$B$6,"CHECK LOW BALANCE","OK")))))))</f>
        <v/>
      </c>
    </row>
    <row r="62" ht="30" customHeight="1">
      <c r="A62" s="18" t="n"/>
      <c r="B62" s="19" t="n"/>
      <c r="C62" s="20">
        <f>IF(B62="","",IFERROR(VLOOKUP(B62,Cylinders!$A$6:$J$105,2,FALSE),"CHECK CYLINDER"))</f>
        <v/>
      </c>
      <c r="D62" s="19" t="n"/>
      <c r="E62" s="21" t="n"/>
      <c r="F62" s="19" t="n"/>
      <c r="G62" s="21" t="n"/>
      <c r="H62" s="21" t="n"/>
      <c r="I62" s="22" t="n"/>
      <c r="J62" s="22" t="n"/>
      <c r="K62" s="22" t="n"/>
      <c r="L62" s="23">
        <f>IF(B62="","","lb")</f>
        <v/>
      </c>
      <c r="M62" s="11">
        <f>IF(B62="","",IFERROR(VLOOKUP(B62,Cylinders!$A$6:$J$105,5,FALSE),""))</f>
        <v/>
      </c>
      <c r="N62" s="11">
        <f>IF(OR(B62="",Q62="Voided"),"",IF(COUNT(J62,M62)&lt;2,"",IFERROR(J62*M62,"")))</f>
        <v/>
      </c>
      <c r="O62" s="19" t="n"/>
      <c r="P62" s="19" t="n"/>
      <c r="Q62" s="19" t="n"/>
      <c r="R62" s="24">
        <f>IF(B62="","",IFERROR(VLOOKUP(B62,Cylinders!$A$6:$J$105,4,FALSE)-SUMIFS($I$6:I62,$B$6:B62,B62,$Q$6:Q62,"&lt;&gt;Voided")+SUMIFS($K$6:K62,$B$6:B62,B62,$Q$6:Q62,"&lt;&gt;Voided"),""))</f>
        <v/>
      </c>
      <c r="S62" s="23">
        <f>IF(B62="","",IF(OR(A62="",D62="",Q62=""),"CHECK REQUIRED INPUTS",IF(C62="CHECK CYLINDER","CHECK CYLINDER",IF(Q62="Voided","VOIDED",IF(COUNT(I62:K62)&lt;3,"CHECK QUANTITIES",IF(ABS(I62-J62-K62)&gt;Assumptions!$B$7,"CHECK QUANTITIES",IF(R62&lt;0,"CHECK NEGATIVE BALANCE",IF(R62&lt;IFERROR(VLOOKUP(B62,Cylinders!$A$6:$J$105,4,FALSE),0)*Assumptions!$B$6,"CHECK LOW BALANCE","OK")))))))</f>
        <v/>
      </c>
    </row>
    <row r="63" ht="30" customHeight="1">
      <c r="A63" s="18" t="n"/>
      <c r="B63" s="19" t="n"/>
      <c r="C63" s="25">
        <f>IF(B63="","",IFERROR(VLOOKUP(B63,Cylinders!$A$6:$J$105,2,FALSE),"CHECK CYLINDER"))</f>
        <v/>
      </c>
      <c r="D63" s="19" t="n"/>
      <c r="E63" s="21" t="n"/>
      <c r="F63" s="19" t="n"/>
      <c r="G63" s="21" t="n"/>
      <c r="H63" s="21" t="n"/>
      <c r="I63" s="22" t="n"/>
      <c r="J63" s="22" t="n"/>
      <c r="K63" s="22" t="n"/>
      <c r="L63" s="26">
        <f>IF(B63="","","lb")</f>
        <v/>
      </c>
      <c r="M63" s="27">
        <f>IF(B63="","",IFERROR(VLOOKUP(B63,Cylinders!$A$6:$J$105,5,FALSE),""))</f>
        <v/>
      </c>
      <c r="N63" s="27">
        <f>IF(OR(B63="",Q63="Voided"),"",IF(COUNT(J63,M63)&lt;2,"",IFERROR(J63*M63,"")))</f>
        <v/>
      </c>
      <c r="O63" s="19" t="n"/>
      <c r="P63" s="19" t="n"/>
      <c r="Q63" s="19" t="n"/>
      <c r="R63" s="28">
        <f>IF(B63="","",IFERROR(VLOOKUP(B63,Cylinders!$A$6:$J$105,4,FALSE)-SUMIFS($I$6:I63,$B$6:B63,B63,$Q$6:Q63,"&lt;&gt;Voided")+SUMIFS($K$6:K63,$B$6:B63,B63,$Q$6:Q63,"&lt;&gt;Voided"),""))</f>
        <v/>
      </c>
      <c r="S63" s="26">
        <f>IF(B63="","",IF(OR(A63="",D63="",Q63=""),"CHECK REQUIRED INPUTS",IF(C63="CHECK CYLINDER","CHECK CYLINDER",IF(Q63="Voided","VOIDED",IF(COUNT(I63:K63)&lt;3,"CHECK QUANTITIES",IF(ABS(I63-J63-K63)&gt;Assumptions!$B$7,"CHECK QUANTITIES",IF(R63&lt;0,"CHECK NEGATIVE BALANCE",IF(R63&lt;IFERROR(VLOOKUP(B63,Cylinders!$A$6:$J$105,4,FALSE),0)*Assumptions!$B$6,"CHECK LOW BALANCE","OK")))))))</f>
        <v/>
      </c>
    </row>
    <row r="64" ht="30" customHeight="1">
      <c r="A64" s="18" t="n"/>
      <c r="B64" s="19" t="n"/>
      <c r="C64" s="20">
        <f>IF(B64="","",IFERROR(VLOOKUP(B64,Cylinders!$A$6:$J$105,2,FALSE),"CHECK CYLINDER"))</f>
        <v/>
      </c>
      <c r="D64" s="19" t="n"/>
      <c r="E64" s="21" t="n"/>
      <c r="F64" s="19" t="n"/>
      <c r="G64" s="21" t="n"/>
      <c r="H64" s="21" t="n"/>
      <c r="I64" s="22" t="n"/>
      <c r="J64" s="22" t="n"/>
      <c r="K64" s="22" t="n"/>
      <c r="L64" s="23">
        <f>IF(B64="","","lb")</f>
        <v/>
      </c>
      <c r="M64" s="11">
        <f>IF(B64="","",IFERROR(VLOOKUP(B64,Cylinders!$A$6:$J$105,5,FALSE),""))</f>
        <v/>
      </c>
      <c r="N64" s="11">
        <f>IF(OR(B64="",Q64="Voided"),"",IF(COUNT(J64,M64)&lt;2,"",IFERROR(J64*M64,"")))</f>
        <v/>
      </c>
      <c r="O64" s="19" t="n"/>
      <c r="P64" s="19" t="n"/>
      <c r="Q64" s="19" t="n"/>
      <c r="R64" s="24">
        <f>IF(B64="","",IFERROR(VLOOKUP(B64,Cylinders!$A$6:$J$105,4,FALSE)-SUMIFS($I$6:I64,$B$6:B64,B64,$Q$6:Q64,"&lt;&gt;Voided")+SUMIFS($K$6:K64,$B$6:B64,B64,$Q$6:Q64,"&lt;&gt;Voided"),""))</f>
        <v/>
      </c>
      <c r="S64" s="23">
        <f>IF(B64="","",IF(OR(A64="",D64="",Q64=""),"CHECK REQUIRED INPUTS",IF(C64="CHECK CYLINDER","CHECK CYLINDER",IF(Q64="Voided","VOIDED",IF(COUNT(I64:K64)&lt;3,"CHECK QUANTITIES",IF(ABS(I64-J64-K64)&gt;Assumptions!$B$7,"CHECK QUANTITIES",IF(R64&lt;0,"CHECK NEGATIVE BALANCE",IF(R64&lt;IFERROR(VLOOKUP(B64,Cylinders!$A$6:$J$105,4,FALSE),0)*Assumptions!$B$6,"CHECK LOW BALANCE","OK")))))))</f>
        <v/>
      </c>
    </row>
    <row r="65" ht="30" customHeight="1">
      <c r="A65" s="18" t="n"/>
      <c r="B65" s="19" t="n"/>
      <c r="C65" s="25">
        <f>IF(B65="","",IFERROR(VLOOKUP(B65,Cylinders!$A$6:$J$105,2,FALSE),"CHECK CYLINDER"))</f>
        <v/>
      </c>
      <c r="D65" s="19" t="n"/>
      <c r="E65" s="21" t="n"/>
      <c r="F65" s="19" t="n"/>
      <c r="G65" s="21" t="n"/>
      <c r="H65" s="21" t="n"/>
      <c r="I65" s="22" t="n"/>
      <c r="J65" s="22" t="n"/>
      <c r="K65" s="22" t="n"/>
      <c r="L65" s="26">
        <f>IF(B65="","","lb")</f>
        <v/>
      </c>
      <c r="M65" s="27">
        <f>IF(B65="","",IFERROR(VLOOKUP(B65,Cylinders!$A$6:$J$105,5,FALSE),""))</f>
        <v/>
      </c>
      <c r="N65" s="27">
        <f>IF(OR(B65="",Q65="Voided"),"",IF(COUNT(J65,M65)&lt;2,"",IFERROR(J65*M65,"")))</f>
        <v/>
      </c>
      <c r="O65" s="19" t="n"/>
      <c r="P65" s="19" t="n"/>
      <c r="Q65" s="19" t="n"/>
      <c r="R65" s="28">
        <f>IF(B65="","",IFERROR(VLOOKUP(B65,Cylinders!$A$6:$J$105,4,FALSE)-SUMIFS($I$6:I65,$B$6:B65,B65,$Q$6:Q65,"&lt;&gt;Voided")+SUMIFS($K$6:K65,$B$6:B65,B65,$Q$6:Q65,"&lt;&gt;Voided"),""))</f>
        <v/>
      </c>
      <c r="S65" s="26">
        <f>IF(B65="","",IF(OR(A65="",D65="",Q65=""),"CHECK REQUIRED INPUTS",IF(C65="CHECK CYLINDER","CHECK CYLINDER",IF(Q65="Voided","VOIDED",IF(COUNT(I65:K65)&lt;3,"CHECK QUANTITIES",IF(ABS(I65-J65-K65)&gt;Assumptions!$B$7,"CHECK QUANTITIES",IF(R65&lt;0,"CHECK NEGATIVE BALANCE",IF(R65&lt;IFERROR(VLOOKUP(B65,Cylinders!$A$6:$J$105,4,FALSE),0)*Assumptions!$B$6,"CHECK LOW BALANCE","OK")))))))</f>
        <v/>
      </c>
    </row>
    <row r="66" ht="30" customHeight="1">
      <c r="A66" s="18" t="n"/>
      <c r="B66" s="19" t="n"/>
      <c r="C66" s="20">
        <f>IF(B66="","",IFERROR(VLOOKUP(B66,Cylinders!$A$6:$J$105,2,FALSE),"CHECK CYLINDER"))</f>
        <v/>
      </c>
      <c r="D66" s="19" t="n"/>
      <c r="E66" s="21" t="n"/>
      <c r="F66" s="19" t="n"/>
      <c r="G66" s="21" t="n"/>
      <c r="H66" s="21" t="n"/>
      <c r="I66" s="22" t="n"/>
      <c r="J66" s="22" t="n"/>
      <c r="K66" s="22" t="n"/>
      <c r="L66" s="23">
        <f>IF(B66="","","lb")</f>
        <v/>
      </c>
      <c r="M66" s="11">
        <f>IF(B66="","",IFERROR(VLOOKUP(B66,Cylinders!$A$6:$J$105,5,FALSE),""))</f>
        <v/>
      </c>
      <c r="N66" s="11">
        <f>IF(OR(B66="",Q66="Voided"),"",IF(COUNT(J66,M66)&lt;2,"",IFERROR(J66*M66,"")))</f>
        <v/>
      </c>
      <c r="O66" s="19" t="n"/>
      <c r="P66" s="19" t="n"/>
      <c r="Q66" s="19" t="n"/>
      <c r="R66" s="24">
        <f>IF(B66="","",IFERROR(VLOOKUP(B66,Cylinders!$A$6:$J$105,4,FALSE)-SUMIFS($I$6:I66,$B$6:B66,B66,$Q$6:Q66,"&lt;&gt;Voided")+SUMIFS($K$6:K66,$B$6:B66,B66,$Q$6:Q66,"&lt;&gt;Voided"),""))</f>
        <v/>
      </c>
      <c r="S66" s="23">
        <f>IF(B66="","",IF(OR(A66="",D66="",Q66=""),"CHECK REQUIRED INPUTS",IF(C66="CHECK CYLINDER","CHECK CYLINDER",IF(Q66="Voided","VOIDED",IF(COUNT(I66:K66)&lt;3,"CHECK QUANTITIES",IF(ABS(I66-J66-K66)&gt;Assumptions!$B$7,"CHECK QUANTITIES",IF(R66&lt;0,"CHECK NEGATIVE BALANCE",IF(R66&lt;IFERROR(VLOOKUP(B66,Cylinders!$A$6:$J$105,4,FALSE),0)*Assumptions!$B$6,"CHECK LOW BALANCE","OK")))))))</f>
        <v/>
      </c>
    </row>
    <row r="67" ht="30" customHeight="1">
      <c r="A67" s="18" t="n"/>
      <c r="B67" s="19" t="n"/>
      <c r="C67" s="25">
        <f>IF(B67="","",IFERROR(VLOOKUP(B67,Cylinders!$A$6:$J$105,2,FALSE),"CHECK CYLINDER"))</f>
        <v/>
      </c>
      <c r="D67" s="19" t="n"/>
      <c r="E67" s="21" t="n"/>
      <c r="F67" s="19" t="n"/>
      <c r="G67" s="21" t="n"/>
      <c r="H67" s="21" t="n"/>
      <c r="I67" s="22" t="n"/>
      <c r="J67" s="22" t="n"/>
      <c r="K67" s="22" t="n"/>
      <c r="L67" s="26">
        <f>IF(B67="","","lb")</f>
        <v/>
      </c>
      <c r="M67" s="27">
        <f>IF(B67="","",IFERROR(VLOOKUP(B67,Cylinders!$A$6:$J$105,5,FALSE),""))</f>
        <v/>
      </c>
      <c r="N67" s="27">
        <f>IF(OR(B67="",Q67="Voided"),"",IF(COUNT(J67,M67)&lt;2,"",IFERROR(J67*M67,"")))</f>
        <v/>
      </c>
      <c r="O67" s="19" t="n"/>
      <c r="P67" s="19" t="n"/>
      <c r="Q67" s="19" t="n"/>
      <c r="R67" s="28">
        <f>IF(B67="","",IFERROR(VLOOKUP(B67,Cylinders!$A$6:$J$105,4,FALSE)-SUMIFS($I$6:I67,$B$6:B67,B67,$Q$6:Q67,"&lt;&gt;Voided")+SUMIFS($K$6:K67,$B$6:B67,B67,$Q$6:Q67,"&lt;&gt;Voided"),""))</f>
        <v/>
      </c>
      <c r="S67" s="26">
        <f>IF(B67="","",IF(OR(A67="",D67="",Q67=""),"CHECK REQUIRED INPUTS",IF(C67="CHECK CYLINDER","CHECK CYLINDER",IF(Q67="Voided","VOIDED",IF(COUNT(I67:K67)&lt;3,"CHECK QUANTITIES",IF(ABS(I67-J67-K67)&gt;Assumptions!$B$7,"CHECK QUANTITIES",IF(R67&lt;0,"CHECK NEGATIVE BALANCE",IF(R67&lt;IFERROR(VLOOKUP(B67,Cylinders!$A$6:$J$105,4,FALSE),0)*Assumptions!$B$6,"CHECK LOW BALANCE","OK")))))))</f>
        <v/>
      </c>
    </row>
    <row r="68" ht="30" customHeight="1">
      <c r="A68" s="18" t="n"/>
      <c r="B68" s="19" t="n"/>
      <c r="C68" s="20">
        <f>IF(B68="","",IFERROR(VLOOKUP(B68,Cylinders!$A$6:$J$105,2,FALSE),"CHECK CYLINDER"))</f>
        <v/>
      </c>
      <c r="D68" s="19" t="n"/>
      <c r="E68" s="21" t="n"/>
      <c r="F68" s="19" t="n"/>
      <c r="G68" s="21" t="n"/>
      <c r="H68" s="21" t="n"/>
      <c r="I68" s="22" t="n"/>
      <c r="J68" s="22" t="n"/>
      <c r="K68" s="22" t="n"/>
      <c r="L68" s="23">
        <f>IF(B68="","","lb")</f>
        <v/>
      </c>
      <c r="M68" s="11">
        <f>IF(B68="","",IFERROR(VLOOKUP(B68,Cylinders!$A$6:$J$105,5,FALSE),""))</f>
        <v/>
      </c>
      <c r="N68" s="11">
        <f>IF(OR(B68="",Q68="Voided"),"",IF(COUNT(J68,M68)&lt;2,"",IFERROR(J68*M68,"")))</f>
        <v/>
      </c>
      <c r="O68" s="19" t="n"/>
      <c r="P68" s="19" t="n"/>
      <c r="Q68" s="19" t="n"/>
      <c r="R68" s="24">
        <f>IF(B68="","",IFERROR(VLOOKUP(B68,Cylinders!$A$6:$J$105,4,FALSE)-SUMIFS($I$6:I68,$B$6:B68,B68,$Q$6:Q68,"&lt;&gt;Voided")+SUMIFS($K$6:K68,$B$6:B68,B68,$Q$6:Q68,"&lt;&gt;Voided"),""))</f>
        <v/>
      </c>
      <c r="S68" s="23">
        <f>IF(B68="","",IF(OR(A68="",D68="",Q68=""),"CHECK REQUIRED INPUTS",IF(C68="CHECK CYLINDER","CHECK CYLINDER",IF(Q68="Voided","VOIDED",IF(COUNT(I68:K68)&lt;3,"CHECK QUANTITIES",IF(ABS(I68-J68-K68)&gt;Assumptions!$B$7,"CHECK QUANTITIES",IF(R68&lt;0,"CHECK NEGATIVE BALANCE",IF(R68&lt;IFERROR(VLOOKUP(B68,Cylinders!$A$6:$J$105,4,FALSE),0)*Assumptions!$B$6,"CHECK LOW BALANCE","OK")))))))</f>
        <v/>
      </c>
    </row>
    <row r="69" ht="30" customHeight="1">
      <c r="A69" s="18" t="n"/>
      <c r="B69" s="19" t="n"/>
      <c r="C69" s="25">
        <f>IF(B69="","",IFERROR(VLOOKUP(B69,Cylinders!$A$6:$J$105,2,FALSE),"CHECK CYLINDER"))</f>
        <v/>
      </c>
      <c r="D69" s="19" t="n"/>
      <c r="E69" s="21" t="n"/>
      <c r="F69" s="19" t="n"/>
      <c r="G69" s="21" t="n"/>
      <c r="H69" s="21" t="n"/>
      <c r="I69" s="22" t="n"/>
      <c r="J69" s="22" t="n"/>
      <c r="K69" s="22" t="n"/>
      <c r="L69" s="26">
        <f>IF(B69="","","lb")</f>
        <v/>
      </c>
      <c r="M69" s="27">
        <f>IF(B69="","",IFERROR(VLOOKUP(B69,Cylinders!$A$6:$J$105,5,FALSE),""))</f>
        <v/>
      </c>
      <c r="N69" s="27">
        <f>IF(OR(B69="",Q69="Voided"),"",IF(COUNT(J69,M69)&lt;2,"",IFERROR(J69*M69,"")))</f>
        <v/>
      </c>
      <c r="O69" s="19" t="n"/>
      <c r="P69" s="19" t="n"/>
      <c r="Q69" s="19" t="n"/>
      <c r="R69" s="28">
        <f>IF(B69="","",IFERROR(VLOOKUP(B69,Cylinders!$A$6:$J$105,4,FALSE)-SUMIFS($I$6:I69,$B$6:B69,B69,$Q$6:Q69,"&lt;&gt;Voided")+SUMIFS($K$6:K69,$B$6:B69,B69,$Q$6:Q69,"&lt;&gt;Voided"),""))</f>
        <v/>
      </c>
      <c r="S69" s="26">
        <f>IF(B69="","",IF(OR(A69="",D69="",Q69=""),"CHECK REQUIRED INPUTS",IF(C69="CHECK CYLINDER","CHECK CYLINDER",IF(Q69="Voided","VOIDED",IF(COUNT(I69:K69)&lt;3,"CHECK QUANTITIES",IF(ABS(I69-J69-K69)&gt;Assumptions!$B$7,"CHECK QUANTITIES",IF(R69&lt;0,"CHECK NEGATIVE BALANCE",IF(R69&lt;IFERROR(VLOOKUP(B69,Cylinders!$A$6:$J$105,4,FALSE),0)*Assumptions!$B$6,"CHECK LOW BALANCE","OK")))))))</f>
        <v/>
      </c>
    </row>
    <row r="70" ht="30" customHeight="1">
      <c r="A70" s="18" t="n"/>
      <c r="B70" s="19" t="n"/>
      <c r="C70" s="20">
        <f>IF(B70="","",IFERROR(VLOOKUP(B70,Cylinders!$A$6:$J$105,2,FALSE),"CHECK CYLINDER"))</f>
        <v/>
      </c>
      <c r="D70" s="19" t="n"/>
      <c r="E70" s="21" t="n"/>
      <c r="F70" s="19" t="n"/>
      <c r="G70" s="21" t="n"/>
      <c r="H70" s="21" t="n"/>
      <c r="I70" s="22" t="n"/>
      <c r="J70" s="22" t="n"/>
      <c r="K70" s="22" t="n"/>
      <c r="L70" s="23">
        <f>IF(B70="","","lb")</f>
        <v/>
      </c>
      <c r="M70" s="11">
        <f>IF(B70="","",IFERROR(VLOOKUP(B70,Cylinders!$A$6:$J$105,5,FALSE),""))</f>
        <v/>
      </c>
      <c r="N70" s="11">
        <f>IF(OR(B70="",Q70="Voided"),"",IF(COUNT(J70,M70)&lt;2,"",IFERROR(J70*M70,"")))</f>
        <v/>
      </c>
      <c r="O70" s="19" t="n"/>
      <c r="P70" s="19" t="n"/>
      <c r="Q70" s="19" t="n"/>
      <c r="R70" s="24">
        <f>IF(B70="","",IFERROR(VLOOKUP(B70,Cylinders!$A$6:$J$105,4,FALSE)-SUMIFS($I$6:I70,$B$6:B70,B70,$Q$6:Q70,"&lt;&gt;Voided")+SUMIFS($K$6:K70,$B$6:B70,B70,$Q$6:Q70,"&lt;&gt;Voided"),""))</f>
        <v/>
      </c>
      <c r="S70" s="23">
        <f>IF(B70="","",IF(OR(A70="",D70="",Q70=""),"CHECK REQUIRED INPUTS",IF(C70="CHECK CYLINDER","CHECK CYLINDER",IF(Q70="Voided","VOIDED",IF(COUNT(I70:K70)&lt;3,"CHECK QUANTITIES",IF(ABS(I70-J70-K70)&gt;Assumptions!$B$7,"CHECK QUANTITIES",IF(R70&lt;0,"CHECK NEGATIVE BALANCE",IF(R70&lt;IFERROR(VLOOKUP(B70,Cylinders!$A$6:$J$105,4,FALSE),0)*Assumptions!$B$6,"CHECK LOW BALANCE","OK")))))))</f>
        <v/>
      </c>
    </row>
    <row r="71" ht="30" customHeight="1">
      <c r="A71" s="18" t="n"/>
      <c r="B71" s="19" t="n"/>
      <c r="C71" s="25">
        <f>IF(B71="","",IFERROR(VLOOKUP(B71,Cylinders!$A$6:$J$105,2,FALSE),"CHECK CYLINDER"))</f>
        <v/>
      </c>
      <c r="D71" s="19" t="n"/>
      <c r="E71" s="21" t="n"/>
      <c r="F71" s="19" t="n"/>
      <c r="G71" s="21" t="n"/>
      <c r="H71" s="21" t="n"/>
      <c r="I71" s="22" t="n"/>
      <c r="J71" s="22" t="n"/>
      <c r="K71" s="22" t="n"/>
      <c r="L71" s="26">
        <f>IF(B71="","","lb")</f>
        <v/>
      </c>
      <c r="M71" s="27">
        <f>IF(B71="","",IFERROR(VLOOKUP(B71,Cylinders!$A$6:$J$105,5,FALSE),""))</f>
        <v/>
      </c>
      <c r="N71" s="27">
        <f>IF(OR(B71="",Q71="Voided"),"",IF(COUNT(J71,M71)&lt;2,"",IFERROR(J71*M71,"")))</f>
        <v/>
      </c>
      <c r="O71" s="19" t="n"/>
      <c r="P71" s="19" t="n"/>
      <c r="Q71" s="19" t="n"/>
      <c r="R71" s="28">
        <f>IF(B71="","",IFERROR(VLOOKUP(B71,Cylinders!$A$6:$J$105,4,FALSE)-SUMIFS($I$6:I71,$B$6:B71,B71,$Q$6:Q71,"&lt;&gt;Voided")+SUMIFS($K$6:K71,$B$6:B71,B71,$Q$6:Q71,"&lt;&gt;Voided"),""))</f>
        <v/>
      </c>
      <c r="S71" s="26">
        <f>IF(B71="","",IF(OR(A71="",D71="",Q71=""),"CHECK REQUIRED INPUTS",IF(C71="CHECK CYLINDER","CHECK CYLINDER",IF(Q71="Voided","VOIDED",IF(COUNT(I71:K71)&lt;3,"CHECK QUANTITIES",IF(ABS(I71-J71-K71)&gt;Assumptions!$B$7,"CHECK QUANTITIES",IF(R71&lt;0,"CHECK NEGATIVE BALANCE",IF(R71&lt;IFERROR(VLOOKUP(B71,Cylinders!$A$6:$J$105,4,FALSE),0)*Assumptions!$B$6,"CHECK LOW BALANCE","OK")))))))</f>
        <v/>
      </c>
    </row>
    <row r="72" ht="30" customHeight="1">
      <c r="A72" s="18" t="n"/>
      <c r="B72" s="19" t="n"/>
      <c r="C72" s="20">
        <f>IF(B72="","",IFERROR(VLOOKUP(B72,Cylinders!$A$6:$J$105,2,FALSE),"CHECK CYLINDER"))</f>
        <v/>
      </c>
      <c r="D72" s="19" t="n"/>
      <c r="E72" s="21" t="n"/>
      <c r="F72" s="19" t="n"/>
      <c r="G72" s="21" t="n"/>
      <c r="H72" s="21" t="n"/>
      <c r="I72" s="22" t="n"/>
      <c r="J72" s="22" t="n"/>
      <c r="K72" s="22" t="n"/>
      <c r="L72" s="23">
        <f>IF(B72="","","lb")</f>
        <v/>
      </c>
      <c r="M72" s="11">
        <f>IF(B72="","",IFERROR(VLOOKUP(B72,Cylinders!$A$6:$J$105,5,FALSE),""))</f>
        <v/>
      </c>
      <c r="N72" s="11">
        <f>IF(OR(B72="",Q72="Voided"),"",IF(COUNT(J72,M72)&lt;2,"",IFERROR(J72*M72,"")))</f>
        <v/>
      </c>
      <c r="O72" s="19" t="n"/>
      <c r="P72" s="19" t="n"/>
      <c r="Q72" s="19" t="n"/>
      <c r="R72" s="24">
        <f>IF(B72="","",IFERROR(VLOOKUP(B72,Cylinders!$A$6:$J$105,4,FALSE)-SUMIFS($I$6:I72,$B$6:B72,B72,$Q$6:Q72,"&lt;&gt;Voided")+SUMIFS($K$6:K72,$B$6:B72,B72,$Q$6:Q72,"&lt;&gt;Voided"),""))</f>
        <v/>
      </c>
      <c r="S72" s="23">
        <f>IF(B72="","",IF(OR(A72="",D72="",Q72=""),"CHECK REQUIRED INPUTS",IF(C72="CHECK CYLINDER","CHECK CYLINDER",IF(Q72="Voided","VOIDED",IF(COUNT(I72:K72)&lt;3,"CHECK QUANTITIES",IF(ABS(I72-J72-K72)&gt;Assumptions!$B$7,"CHECK QUANTITIES",IF(R72&lt;0,"CHECK NEGATIVE BALANCE",IF(R72&lt;IFERROR(VLOOKUP(B72,Cylinders!$A$6:$J$105,4,FALSE),0)*Assumptions!$B$6,"CHECK LOW BALANCE","OK")))))))</f>
        <v/>
      </c>
    </row>
    <row r="73" ht="30" customHeight="1">
      <c r="A73" s="18" t="n"/>
      <c r="B73" s="19" t="n"/>
      <c r="C73" s="25">
        <f>IF(B73="","",IFERROR(VLOOKUP(B73,Cylinders!$A$6:$J$105,2,FALSE),"CHECK CYLINDER"))</f>
        <v/>
      </c>
      <c r="D73" s="19" t="n"/>
      <c r="E73" s="21" t="n"/>
      <c r="F73" s="19" t="n"/>
      <c r="G73" s="21" t="n"/>
      <c r="H73" s="21" t="n"/>
      <c r="I73" s="22" t="n"/>
      <c r="J73" s="22" t="n"/>
      <c r="K73" s="22" t="n"/>
      <c r="L73" s="26">
        <f>IF(B73="","","lb")</f>
        <v/>
      </c>
      <c r="M73" s="27">
        <f>IF(B73="","",IFERROR(VLOOKUP(B73,Cylinders!$A$6:$J$105,5,FALSE),""))</f>
        <v/>
      </c>
      <c r="N73" s="27">
        <f>IF(OR(B73="",Q73="Voided"),"",IF(COUNT(J73,M73)&lt;2,"",IFERROR(J73*M73,"")))</f>
        <v/>
      </c>
      <c r="O73" s="19" t="n"/>
      <c r="P73" s="19" t="n"/>
      <c r="Q73" s="19" t="n"/>
      <c r="R73" s="28">
        <f>IF(B73="","",IFERROR(VLOOKUP(B73,Cylinders!$A$6:$J$105,4,FALSE)-SUMIFS($I$6:I73,$B$6:B73,B73,$Q$6:Q73,"&lt;&gt;Voided")+SUMIFS($K$6:K73,$B$6:B73,B73,$Q$6:Q73,"&lt;&gt;Voided"),""))</f>
        <v/>
      </c>
      <c r="S73" s="26">
        <f>IF(B73="","",IF(OR(A73="",D73="",Q73=""),"CHECK REQUIRED INPUTS",IF(C73="CHECK CYLINDER","CHECK CYLINDER",IF(Q73="Voided","VOIDED",IF(COUNT(I73:K73)&lt;3,"CHECK QUANTITIES",IF(ABS(I73-J73-K73)&gt;Assumptions!$B$7,"CHECK QUANTITIES",IF(R73&lt;0,"CHECK NEGATIVE BALANCE",IF(R73&lt;IFERROR(VLOOKUP(B73,Cylinders!$A$6:$J$105,4,FALSE),0)*Assumptions!$B$6,"CHECK LOW BALANCE","OK")))))))</f>
        <v/>
      </c>
    </row>
    <row r="74" ht="30" customHeight="1">
      <c r="A74" s="18" t="n"/>
      <c r="B74" s="19" t="n"/>
      <c r="C74" s="20">
        <f>IF(B74="","",IFERROR(VLOOKUP(B74,Cylinders!$A$6:$J$105,2,FALSE),"CHECK CYLINDER"))</f>
        <v/>
      </c>
      <c r="D74" s="19" t="n"/>
      <c r="E74" s="21" t="n"/>
      <c r="F74" s="19" t="n"/>
      <c r="G74" s="21" t="n"/>
      <c r="H74" s="21" t="n"/>
      <c r="I74" s="22" t="n"/>
      <c r="J74" s="22" t="n"/>
      <c r="K74" s="22" t="n"/>
      <c r="L74" s="23">
        <f>IF(B74="","","lb")</f>
        <v/>
      </c>
      <c r="M74" s="11">
        <f>IF(B74="","",IFERROR(VLOOKUP(B74,Cylinders!$A$6:$J$105,5,FALSE),""))</f>
        <v/>
      </c>
      <c r="N74" s="11">
        <f>IF(OR(B74="",Q74="Voided"),"",IF(COUNT(J74,M74)&lt;2,"",IFERROR(J74*M74,"")))</f>
        <v/>
      </c>
      <c r="O74" s="19" t="n"/>
      <c r="P74" s="19" t="n"/>
      <c r="Q74" s="19" t="n"/>
      <c r="R74" s="24">
        <f>IF(B74="","",IFERROR(VLOOKUP(B74,Cylinders!$A$6:$J$105,4,FALSE)-SUMIFS($I$6:I74,$B$6:B74,B74,$Q$6:Q74,"&lt;&gt;Voided")+SUMIFS($K$6:K74,$B$6:B74,B74,$Q$6:Q74,"&lt;&gt;Voided"),""))</f>
        <v/>
      </c>
      <c r="S74" s="23">
        <f>IF(B74="","",IF(OR(A74="",D74="",Q74=""),"CHECK REQUIRED INPUTS",IF(C74="CHECK CYLINDER","CHECK CYLINDER",IF(Q74="Voided","VOIDED",IF(COUNT(I74:K74)&lt;3,"CHECK QUANTITIES",IF(ABS(I74-J74-K74)&gt;Assumptions!$B$7,"CHECK QUANTITIES",IF(R74&lt;0,"CHECK NEGATIVE BALANCE",IF(R74&lt;IFERROR(VLOOKUP(B74,Cylinders!$A$6:$J$105,4,FALSE),0)*Assumptions!$B$6,"CHECK LOW BALANCE","OK")))))))</f>
        <v/>
      </c>
    </row>
    <row r="75" ht="30" customHeight="1">
      <c r="A75" s="18" t="n"/>
      <c r="B75" s="19" t="n"/>
      <c r="C75" s="25">
        <f>IF(B75="","",IFERROR(VLOOKUP(B75,Cylinders!$A$6:$J$105,2,FALSE),"CHECK CYLINDER"))</f>
        <v/>
      </c>
      <c r="D75" s="19" t="n"/>
      <c r="E75" s="21" t="n"/>
      <c r="F75" s="19" t="n"/>
      <c r="G75" s="21" t="n"/>
      <c r="H75" s="21" t="n"/>
      <c r="I75" s="22" t="n"/>
      <c r="J75" s="22" t="n"/>
      <c r="K75" s="22" t="n"/>
      <c r="L75" s="26">
        <f>IF(B75="","","lb")</f>
        <v/>
      </c>
      <c r="M75" s="27">
        <f>IF(B75="","",IFERROR(VLOOKUP(B75,Cylinders!$A$6:$J$105,5,FALSE),""))</f>
        <v/>
      </c>
      <c r="N75" s="27">
        <f>IF(OR(B75="",Q75="Voided"),"",IF(COUNT(J75,M75)&lt;2,"",IFERROR(J75*M75,"")))</f>
        <v/>
      </c>
      <c r="O75" s="19" t="n"/>
      <c r="P75" s="19" t="n"/>
      <c r="Q75" s="19" t="n"/>
      <c r="R75" s="28">
        <f>IF(B75="","",IFERROR(VLOOKUP(B75,Cylinders!$A$6:$J$105,4,FALSE)-SUMIFS($I$6:I75,$B$6:B75,B75,$Q$6:Q75,"&lt;&gt;Voided")+SUMIFS($K$6:K75,$B$6:B75,B75,$Q$6:Q75,"&lt;&gt;Voided"),""))</f>
        <v/>
      </c>
      <c r="S75" s="26">
        <f>IF(B75="","",IF(OR(A75="",D75="",Q75=""),"CHECK REQUIRED INPUTS",IF(C75="CHECK CYLINDER","CHECK CYLINDER",IF(Q75="Voided","VOIDED",IF(COUNT(I75:K75)&lt;3,"CHECK QUANTITIES",IF(ABS(I75-J75-K75)&gt;Assumptions!$B$7,"CHECK QUANTITIES",IF(R75&lt;0,"CHECK NEGATIVE BALANCE",IF(R75&lt;IFERROR(VLOOKUP(B75,Cylinders!$A$6:$J$105,4,FALSE),0)*Assumptions!$B$6,"CHECK LOW BALANCE","OK")))))))</f>
        <v/>
      </c>
    </row>
    <row r="76" ht="30" customHeight="1">
      <c r="A76" s="18" t="n"/>
      <c r="B76" s="19" t="n"/>
      <c r="C76" s="20">
        <f>IF(B76="","",IFERROR(VLOOKUP(B76,Cylinders!$A$6:$J$105,2,FALSE),"CHECK CYLINDER"))</f>
        <v/>
      </c>
      <c r="D76" s="19" t="n"/>
      <c r="E76" s="21" t="n"/>
      <c r="F76" s="19" t="n"/>
      <c r="G76" s="21" t="n"/>
      <c r="H76" s="21" t="n"/>
      <c r="I76" s="22" t="n"/>
      <c r="J76" s="22" t="n"/>
      <c r="K76" s="22" t="n"/>
      <c r="L76" s="23">
        <f>IF(B76="","","lb")</f>
        <v/>
      </c>
      <c r="M76" s="11">
        <f>IF(B76="","",IFERROR(VLOOKUP(B76,Cylinders!$A$6:$J$105,5,FALSE),""))</f>
        <v/>
      </c>
      <c r="N76" s="11">
        <f>IF(OR(B76="",Q76="Voided"),"",IF(COUNT(J76,M76)&lt;2,"",IFERROR(J76*M76,"")))</f>
        <v/>
      </c>
      <c r="O76" s="19" t="n"/>
      <c r="P76" s="19" t="n"/>
      <c r="Q76" s="19" t="n"/>
      <c r="R76" s="24">
        <f>IF(B76="","",IFERROR(VLOOKUP(B76,Cylinders!$A$6:$J$105,4,FALSE)-SUMIFS($I$6:I76,$B$6:B76,B76,$Q$6:Q76,"&lt;&gt;Voided")+SUMIFS($K$6:K76,$B$6:B76,B76,$Q$6:Q76,"&lt;&gt;Voided"),""))</f>
        <v/>
      </c>
      <c r="S76" s="23">
        <f>IF(B76="","",IF(OR(A76="",D76="",Q76=""),"CHECK REQUIRED INPUTS",IF(C76="CHECK CYLINDER","CHECK CYLINDER",IF(Q76="Voided","VOIDED",IF(COUNT(I76:K76)&lt;3,"CHECK QUANTITIES",IF(ABS(I76-J76-K76)&gt;Assumptions!$B$7,"CHECK QUANTITIES",IF(R76&lt;0,"CHECK NEGATIVE BALANCE",IF(R76&lt;IFERROR(VLOOKUP(B76,Cylinders!$A$6:$J$105,4,FALSE),0)*Assumptions!$B$6,"CHECK LOW BALANCE","OK")))))))</f>
        <v/>
      </c>
    </row>
    <row r="77" ht="30" customHeight="1">
      <c r="A77" s="18" t="n"/>
      <c r="B77" s="19" t="n"/>
      <c r="C77" s="25">
        <f>IF(B77="","",IFERROR(VLOOKUP(B77,Cylinders!$A$6:$J$105,2,FALSE),"CHECK CYLINDER"))</f>
        <v/>
      </c>
      <c r="D77" s="19" t="n"/>
      <c r="E77" s="21" t="n"/>
      <c r="F77" s="19" t="n"/>
      <c r="G77" s="21" t="n"/>
      <c r="H77" s="21" t="n"/>
      <c r="I77" s="22" t="n"/>
      <c r="J77" s="22" t="n"/>
      <c r="K77" s="22" t="n"/>
      <c r="L77" s="26">
        <f>IF(B77="","","lb")</f>
        <v/>
      </c>
      <c r="M77" s="27">
        <f>IF(B77="","",IFERROR(VLOOKUP(B77,Cylinders!$A$6:$J$105,5,FALSE),""))</f>
        <v/>
      </c>
      <c r="N77" s="27">
        <f>IF(OR(B77="",Q77="Voided"),"",IF(COUNT(J77,M77)&lt;2,"",IFERROR(J77*M77,"")))</f>
        <v/>
      </c>
      <c r="O77" s="19" t="n"/>
      <c r="P77" s="19" t="n"/>
      <c r="Q77" s="19" t="n"/>
      <c r="R77" s="28">
        <f>IF(B77="","",IFERROR(VLOOKUP(B77,Cylinders!$A$6:$J$105,4,FALSE)-SUMIFS($I$6:I77,$B$6:B77,B77,$Q$6:Q77,"&lt;&gt;Voided")+SUMIFS($K$6:K77,$B$6:B77,B77,$Q$6:Q77,"&lt;&gt;Voided"),""))</f>
        <v/>
      </c>
      <c r="S77" s="26">
        <f>IF(B77="","",IF(OR(A77="",D77="",Q77=""),"CHECK REQUIRED INPUTS",IF(C77="CHECK CYLINDER","CHECK CYLINDER",IF(Q77="Voided","VOIDED",IF(COUNT(I77:K77)&lt;3,"CHECK QUANTITIES",IF(ABS(I77-J77-K77)&gt;Assumptions!$B$7,"CHECK QUANTITIES",IF(R77&lt;0,"CHECK NEGATIVE BALANCE",IF(R77&lt;IFERROR(VLOOKUP(B77,Cylinders!$A$6:$J$105,4,FALSE),0)*Assumptions!$B$6,"CHECK LOW BALANCE","OK")))))))</f>
        <v/>
      </c>
    </row>
    <row r="78" ht="30" customHeight="1">
      <c r="A78" s="18" t="n"/>
      <c r="B78" s="19" t="n"/>
      <c r="C78" s="20">
        <f>IF(B78="","",IFERROR(VLOOKUP(B78,Cylinders!$A$6:$J$105,2,FALSE),"CHECK CYLINDER"))</f>
        <v/>
      </c>
      <c r="D78" s="19" t="n"/>
      <c r="E78" s="21" t="n"/>
      <c r="F78" s="19" t="n"/>
      <c r="G78" s="21" t="n"/>
      <c r="H78" s="21" t="n"/>
      <c r="I78" s="22" t="n"/>
      <c r="J78" s="22" t="n"/>
      <c r="K78" s="22" t="n"/>
      <c r="L78" s="23">
        <f>IF(B78="","","lb")</f>
        <v/>
      </c>
      <c r="M78" s="11">
        <f>IF(B78="","",IFERROR(VLOOKUP(B78,Cylinders!$A$6:$J$105,5,FALSE),""))</f>
        <v/>
      </c>
      <c r="N78" s="11">
        <f>IF(OR(B78="",Q78="Voided"),"",IF(COUNT(J78,M78)&lt;2,"",IFERROR(J78*M78,"")))</f>
        <v/>
      </c>
      <c r="O78" s="19" t="n"/>
      <c r="P78" s="19" t="n"/>
      <c r="Q78" s="19" t="n"/>
      <c r="R78" s="24">
        <f>IF(B78="","",IFERROR(VLOOKUP(B78,Cylinders!$A$6:$J$105,4,FALSE)-SUMIFS($I$6:I78,$B$6:B78,B78,$Q$6:Q78,"&lt;&gt;Voided")+SUMIFS($K$6:K78,$B$6:B78,B78,$Q$6:Q78,"&lt;&gt;Voided"),""))</f>
        <v/>
      </c>
      <c r="S78" s="23">
        <f>IF(B78="","",IF(OR(A78="",D78="",Q78=""),"CHECK REQUIRED INPUTS",IF(C78="CHECK CYLINDER","CHECK CYLINDER",IF(Q78="Voided","VOIDED",IF(COUNT(I78:K78)&lt;3,"CHECK QUANTITIES",IF(ABS(I78-J78-K78)&gt;Assumptions!$B$7,"CHECK QUANTITIES",IF(R78&lt;0,"CHECK NEGATIVE BALANCE",IF(R78&lt;IFERROR(VLOOKUP(B78,Cylinders!$A$6:$J$105,4,FALSE),0)*Assumptions!$B$6,"CHECK LOW BALANCE","OK")))))))</f>
        <v/>
      </c>
    </row>
    <row r="79" ht="30" customHeight="1">
      <c r="A79" s="18" t="n"/>
      <c r="B79" s="19" t="n"/>
      <c r="C79" s="25">
        <f>IF(B79="","",IFERROR(VLOOKUP(B79,Cylinders!$A$6:$J$105,2,FALSE),"CHECK CYLINDER"))</f>
        <v/>
      </c>
      <c r="D79" s="19" t="n"/>
      <c r="E79" s="21" t="n"/>
      <c r="F79" s="19" t="n"/>
      <c r="G79" s="21" t="n"/>
      <c r="H79" s="21" t="n"/>
      <c r="I79" s="22" t="n"/>
      <c r="J79" s="22" t="n"/>
      <c r="K79" s="22" t="n"/>
      <c r="L79" s="26">
        <f>IF(B79="","","lb")</f>
        <v/>
      </c>
      <c r="M79" s="27">
        <f>IF(B79="","",IFERROR(VLOOKUP(B79,Cylinders!$A$6:$J$105,5,FALSE),""))</f>
        <v/>
      </c>
      <c r="N79" s="27">
        <f>IF(OR(B79="",Q79="Voided"),"",IF(COUNT(J79,M79)&lt;2,"",IFERROR(J79*M79,"")))</f>
        <v/>
      </c>
      <c r="O79" s="19" t="n"/>
      <c r="P79" s="19" t="n"/>
      <c r="Q79" s="19" t="n"/>
      <c r="R79" s="28">
        <f>IF(B79="","",IFERROR(VLOOKUP(B79,Cylinders!$A$6:$J$105,4,FALSE)-SUMIFS($I$6:I79,$B$6:B79,B79,$Q$6:Q79,"&lt;&gt;Voided")+SUMIFS($K$6:K79,$B$6:B79,B79,$Q$6:Q79,"&lt;&gt;Voided"),""))</f>
        <v/>
      </c>
      <c r="S79" s="26">
        <f>IF(B79="","",IF(OR(A79="",D79="",Q79=""),"CHECK REQUIRED INPUTS",IF(C79="CHECK CYLINDER","CHECK CYLINDER",IF(Q79="Voided","VOIDED",IF(COUNT(I79:K79)&lt;3,"CHECK QUANTITIES",IF(ABS(I79-J79-K79)&gt;Assumptions!$B$7,"CHECK QUANTITIES",IF(R79&lt;0,"CHECK NEGATIVE BALANCE",IF(R79&lt;IFERROR(VLOOKUP(B79,Cylinders!$A$6:$J$105,4,FALSE),0)*Assumptions!$B$6,"CHECK LOW BALANCE","OK")))))))</f>
        <v/>
      </c>
    </row>
    <row r="80" ht="30" customHeight="1">
      <c r="A80" s="18" t="n"/>
      <c r="B80" s="19" t="n"/>
      <c r="C80" s="20">
        <f>IF(B80="","",IFERROR(VLOOKUP(B80,Cylinders!$A$6:$J$105,2,FALSE),"CHECK CYLINDER"))</f>
        <v/>
      </c>
      <c r="D80" s="19" t="n"/>
      <c r="E80" s="21" t="n"/>
      <c r="F80" s="19" t="n"/>
      <c r="G80" s="21" t="n"/>
      <c r="H80" s="21" t="n"/>
      <c r="I80" s="22" t="n"/>
      <c r="J80" s="22" t="n"/>
      <c r="K80" s="22" t="n"/>
      <c r="L80" s="23">
        <f>IF(B80="","","lb")</f>
        <v/>
      </c>
      <c r="M80" s="11">
        <f>IF(B80="","",IFERROR(VLOOKUP(B80,Cylinders!$A$6:$J$105,5,FALSE),""))</f>
        <v/>
      </c>
      <c r="N80" s="11">
        <f>IF(OR(B80="",Q80="Voided"),"",IF(COUNT(J80,M80)&lt;2,"",IFERROR(J80*M80,"")))</f>
        <v/>
      </c>
      <c r="O80" s="19" t="n"/>
      <c r="P80" s="19" t="n"/>
      <c r="Q80" s="19" t="n"/>
      <c r="R80" s="24">
        <f>IF(B80="","",IFERROR(VLOOKUP(B80,Cylinders!$A$6:$J$105,4,FALSE)-SUMIFS($I$6:I80,$B$6:B80,B80,$Q$6:Q80,"&lt;&gt;Voided")+SUMIFS($K$6:K80,$B$6:B80,B80,$Q$6:Q80,"&lt;&gt;Voided"),""))</f>
        <v/>
      </c>
      <c r="S80" s="23">
        <f>IF(B80="","",IF(OR(A80="",D80="",Q80=""),"CHECK REQUIRED INPUTS",IF(C80="CHECK CYLINDER","CHECK CYLINDER",IF(Q80="Voided","VOIDED",IF(COUNT(I80:K80)&lt;3,"CHECK QUANTITIES",IF(ABS(I80-J80-K80)&gt;Assumptions!$B$7,"CHECK QUANTITIES",IF(R80&lt;0,"CHECK NEGATIVE BALANCE",IF(R80&lt;IFERROR(VLOOKUP(B80,Cylinders!$A$6:$J$105,4,FALSE),0)*Assumptions!$B$6,"CHECK LOW BALANCE","OK")))))))</f>
        <v/>
      </c>
    </row>
    <row r="81" ht="30" customHeight="1">
      <c r="A81" s="18" t="n"/>
      <c r="B81" s="19" t="n"/>
      <c r="C81" s="25">
        <f>IF(B81="","",IFERROR(VLOOKUP(B81,Cylinders!$A$6:$J$105,2,FALSE),"CHECK CYLINDER"))</f>
        <v/>
      </c>
      <c r="D81" s="19" t="n"/>
      <c r="E81" s="21" t="n"/>
      <c r="F81" s="19" t="n"/>
      <c r="G81" s="21" t="n"/>
      <c r="H81" s="21" t="n"/>
      <c r="I81" s="22" t="n"/>
      <c r="J81" s="22" t="n"/>
      <c r="K81" s="22" t="n"/>
      <c r="L81" s="26">
        <f>IF(B81="","","lb")</f>
        <v/>
      </c>
      <c r="M81" s="27">
        <f>IF(B81="","",IFERROR(VLOOKUP(B81,Cylinders!$A$6:$J$105,5,FALSE),""))</f>
        <v/>
      </c>
      <c r="N81" s="27">
        <f>IF(OR(B81="",Q81="Voided"),"",IF(COUNT(J81,M81)&lt;2,"",IFERROR(J81*M81,"")))</f>
        <v/>
      </c>
      <c r="O81" s="19" t="n"/>
      <c r="P81" s="19" t="n"/>
      <c r="Q81" s="19" t="n"/>
      <c r="R81" s="28">
        <f>IF(B81="","",IFERROR(VLOOKUP(B81,Cylinders!$A$6:$J$105,4,FALSE)-SUMIFS($I$6:I81,$B$6:B81,B81,$Q$6:Q81,"&lt;&gt;Voided")+SUMIFS($K$6:K81,$B$6:B81,B81,$Q$6:Q81,"&lt;&gt;Voided"),""))</f>
        <v/>
      </c>
      <c r="S81" s="26">
        <f>IF(B81="","",IF(OR(A81="",D81="",Q81=""),"CHECK REQUIRED INPUTS",IF(C81="CHECK CYLINDER","CHECK CYLINDER",IF(Q81="Voided","VOIDED",IF(COUNT(I81:K81)&lt;3,"CHECK QUANTITIES",IF(ABS(I81-J81-K81)&gt;Assumptions!$B$7,"CHECK QUANTITIES",IF(R81&lt;0,"CHECK NEGATIVE BALANCE",IF(R81&lt;IFERROR(VLOOKUP(B81,Cylinders!$A$6:$J$105,4,FALSE),0)*Assumptions!$B$6,"CHECK LOW BALANCE","OK")))))))</f>
        <v/>
      </c>
    </row>
    <row r="82" ht="30" customHeight="1">
      <c r="A82" s="18" t="n"/>
      <c r="B82" s="19" t="n"/>
      <c r="C82" s="20">
        <f>IF(B82="","",IFERROR(VLOOKUP(B82,Cylinders!$A$6:$J$105,2,FALSE),"CHECK CYLINDER"))</f>
        <v/>
      </c>
      <c r="D82" s="19" t="n"/>
      <c r="E82" s="21" t="n"/>
      <c r="F82" s="19" t="n"/>
      <c r="G82" s="21" t="n"/>
      <c r="H82" s="21" t="n"/>
      <c r="I82" s="22" t="n"/>
      <c r="J82" s="22" t="n"/>
      <c r="K82" s="22" t="n"/>
      <c r="L82" s="23">
        <f>IF(B82="","","lb")</f>
        <v/>
      </c>
      <c r="M82" s="11">
        <f>IF(B82="","",IFERROR(VLOOKUP(B82,Cylinders!$A$6:$J$105,5,FALSE),""))</f>
        <v/>
      </c>
      <c r="N82" s="11">
        <f>IF(OR(B82="",Q82="Voided"),"",IF(COUNT(J82,M82)&lt;2,"",IFERROR(J82*M82,"")))</f>
        <v/>
      </c>
      <c r="O82" s="19" t="n"/>
      <c r="P82" s="19" t="n"/>
      <c r="Q82" s="19" t="n"/>
      <c r="R82" s="24">
        <f>IF(B82="","",IFERROR(VLOOKUP(B82,Cylinders!$A$6:$J$105,4,FALSE)-SUMIFS($I$6:I82,$B$6:B82,B82,$Q$6:Q82,"&lt;&gt;Voided")+SUMIFS($K$6:K82,$B$6:B82,B82,$Q$6:Q82,"&lt;&gt;Voided"),""))</f>
        <v/>
      </c>
      <c r="S82" s="23">
        <f>IF(B82="","",IF(OR(A82="",D82="",Q82=""),"CHECK REQUIRED INPUTS",IF(C82="CHECK CYLINDER","CHECK CYLINDER",IF(Q82="Voided","VOIDED",IF(COUNT(I82:K82)&lt;3,"CHECK QUANTITIES",IF(ABS(I82-J82-K82)&gt;Assumptions!$B$7,"CHECK QUANTITIES",IF(R82&lt;0,"CHECK NEGATIVE BALANCE",IF(R82&lt;IFERROR(VLOOKUP(B82,Cylinders!$A$6:$J$105,4,FALSE),0)*Assumptions!$B$6,"CHECK LOW BALANCE","OK")))))))</f>
        <v/>
      </c>
    </row>
    <row r="83" ht="30" customHeight="1">
      <c r="A83" s="18" t="n"/>
      <c r="B83" s="19" t="n"/>
      <c r="C83" s="25">
        <f>IF(B83="","",IFERROR(VLOOKUP(B83,Cylinders!$A$6:$J$105,2,FALSE),"CHECK CYLINDER"))</f>
        <v/>
      </c>
      <c r="D83" s="19" t="n"/>
      <c r="E83" s="21" t="n"/>
      <c r="F83" s="19" t="n"/>
      <c r="G83" s="21" t="n"/>
      <c r="H83" s="21" t="n"/>
      <c r="I83" s="22" t="n"/>
      <c r="J83" s="22" t="n"/>
      <c r="K83" s="22" t="n"/>
      <c r="L83" s="26">
        <f>IF(B83="","","lb")</f>
        <v/>
      </c>
      <c r="M83" s="27">
        <f>IF(B83="","",IFERROR(VLOOKUP(B83,Cylinders!$A$6:$J$105,5,FALSE),""))</f>
        <v/>
      </c>
      <c r="N83" s="27">
        <f>IF(OR(B83="",Q83="Voided"),"",IF(COUNT(J83,M83)&lt;2,"",IFERROR(J83*M83,"")))</f>
        <v/>
      </c>
      <c r="O83" s="19" t="n"/>
      <c r="P83" s="19" t="n"/>
      <c r="Q83" s="19" t="n"/>
      <c r="R83" s="28">
        <f>IF(B83="","",IFERROR(VLOOKUP(B83,Cylinders!$A$6:$J$105,4,FALSE)-SUMIFS($I$6:I83,$B$6:B83,B83,$Q$6:Q83,"&lt;&gt;Voided")+SUMIFS($K$6:K83,$B$6:B83,B83,$Q$6:Q83,"&lt;&gt;Voided"),""))</f>
        <v/>
      </c>
      <c r="S83" s="26">
        <f>IF(B83="","",IF(OR(A83="",D83="",Q83=""),"CHECK REQUIRED INPUTS",IF(C83="CHECK CYLINDER","CHECK CYLINDER",IF(Q83="Voided","VOIDED",IF(COUNT(I83:K83)&lt;3,"CHECK QUANTITIES",IF(ABS(I83-J83-K83)&gt;Assumptions!$B$7,"CHECK QUANTITIES",IF(R83&lt;0,"CHECK NEGATIVE BALANCE",IF(R83&lt;IFERROR(VLOOKUP(B83,Cylinders!$A$6:$J$105,4,FALSE),0)*Assumptions!$B$6,"CHECK LOW BALANCE","OK")))))))</f>
        <v/>
      </c>
    </row>
    <row r="84" ht="30" customHeight="1">
      <c r="A84" s="18" t="n"/>
      <c r="B84" s="19" t="n"/>
      <c r="C84" s="20">
        <f>IF(B84="","",IFERROR(VLOOKUP(B84,Cylinders!$A$6:$J$105,2,FALSE),"CHECK CYLINDER"))</f>
        <v/>
      </c>
      <c r="D84" s="19" t="n"/>
      <c r="E84" s="21" t="n"/>
      <c r="F84" s="19" t="n"/>
      <c r="G84" s="21" t="n"/>
      <c r="H84" s="21" t="n"/>
      <c r="I84" s="22" t="n"/>
      <c r="J84" s="22" t="n"/>
      <c r="K84" s="22" t="n"/>
      <c r="L84" s="23">
        <f>IF(B84="","","lb")</f>
        <v/>
      </c>
      <c r="M84" s="11">
        <f>IF(B84="","",IFERROR(VLOOKUP(B84,Cylinders!$A$6:$J$105,5,FALSE),""))</f>
        <v/>
      </c>
      <c r="N84" s="11">
        <f>IF(OR(B84="",Q84="Voided"),"",IF(COUNT(J84,M84)&lt;2,"",IFERROR(J84*M84,"")))</f>
        <v/>
      </c>
      <c r="O84" s="19" t="n"/>
      <c r="P84" s="19" t="n"/>
      <c r="Q84" s="19" t="n"/>
      <c r="R84" s="24">
        <f>IF(B84="","",IFERROR(VLOOKUP(B84,Cylinders!$A$6:$J$105,4,FALSE)-SUMIFS($I$6:I84,$B$6:B84,B84,$Q$6:Q84,"&lt;&gt;Voided")+SUMIFS($K$6:K84,$B$6:B84,B84,$Q$6:Q84,"&lt;&gt;Voided"),""))</f>
        <v/>
      </c>
      <c r="S84" s="23">
        <f>IF(B84="","",IF(OR(A84="",D84="",Q84=""),"CHECK REQUIRED INPUTS",IF(C84="CHECK CYLINDER","CHECK CYLINDER",IF(Q84="Voided","VOIDED",IF(COUNT(I84:K84)&lt;3,"CHECK QUANTITIES",IF(ABS(I84-J84-K84)&gt;Assumptions!$B$7,"CHECK QUANTITIES",IF(R84&lt;0,"CHECK NEGATIVE BALANCE",IF(R84&lt;IFERROR(VLOOKUP(B84,Cylinders!$A$6:$J$105,4,FALSE),0)*Assumptions!$B$6,"CHECK LOW BALANCE","OK")))))))</f>
        <v/>
      </c>
    </row>
    <row r="85" ht="30" customHeight="1">
      <c r="A85" s="18" t="n"/>
      <c r="B85" s="19" t="n"/>
      <c r="C85" s="25">
        <f>IF(B85="","",IFERROR(VLOOKUP(B85,Cylinders!$A$6:$J$105,2,FALSE),"CHECK CYLINDER"))</f>
        <v/>
      </c>
      <c r="D85" s="19" t="n"/>
      <c r="E85" s="21" t="n"/>
      <c r="F85" s="19" t="n"/>
      <c r="G85" s="21" t="n"/>
      <c r="H85" s="21" t="n"/>
      <c r="I85" s="22" t="n"/>
      <c r="J85" s="22" t="n"/>
      <c r="K85" s="22" t="n"/>
      <c r="L85" s="26">
        <f>IF(B85="","","lb")</f>
        <v/>
      </c>
      <c r="M85" s="27">
        <f>IF(B85="","",IFERROR(VLOOKUP(B85,Cylinders!$A$6:$J$105,5,FALSE),""))</f>
        <v/>
      </c>
      <c r="N85" s="27">
        <f>IF(OR(B85="",Q85="Voided"),"",IF(COUNT(J85,M85)&lt;2,"",IFERROR(J85*M85,"")))</f>
        <v/>
      </c>
      <c r="O85" s="19" t="n"/>
      <c r="P85" s="19" t="n"/>
      <c r="Q85" s="19" t="n"/>
      <c r="R85" s="28">
        <f>IF(B85="","",IFERROR(VLOOKUP(B85,Cylinders!$A$6:$J$105,4,FALSE)-SUMIFS($I$6:I85,$B$6:B85,B85,$Q$6:Q85,"&lt;&gt;Voided")+SUMIFS($K$6:K85,$B$6:B85,B85,$Q$6:Q85,"&lt;&gt;Voided"),""))</f>
        <v/>
      </c>
      <c r="S85" s="26">
        <f>IF(B85="","",IF(OR(A85="",D85="",Q85=""),"CHECK REQUIRED INPUTS",IF(C85="CHECK CYLINDER","CHECK CYLINDER",IF(Q85="Voided","VOIDED",IF(COUNT(I85:K85)&lt;3,"CHECK QUANTITIES",IF(ABS(I85-J85-K85)&gt;Assumptions!$B$7,"CHECK QUANTITIES",IF(R85&lt;0,"CHECK NEGATIVE BALANCE",IF(R85&lt;IFERROR(VLOOKUP(B85,Cylinders!$A$6:$J$105,4,FALSE),0)*Assumptions!$B$6,"CHECK LOW BALANCE","OK")))))))</f>
        <v/>
      </c>
    </row>
    <row r="86" ht="30" customHeight="1">
      <c r="A86" s="18" t="n"/>
      <c r="B86" s="19" t="n"/>
      <c r="C86" s="20">
        <f>IF(B86="","",IFERROR(VLOOKUP(B86,Cylinders!$A$6:$J$105,2,FALSE),"CHECK CYLINDER"))</f>
        <v/>
      </c>
      <c r="D86" s="19" t="n"/>
      <c r="E86" s="21" t="n"/>
      <c r="F86" s="19" t="n"/>
      <c r="G86" s="21" t="n"/>
      <c r="H86" s="21" t="n"/>
      <c r="I86" s="22" t="n"/>
      <c r="J86" s="22" t="n"/>
      <c r="K86" s="22" t="n"/>
      <c r="L86" s="23">
        <f>IF(B86="","","lb")</f>
        <v/>
      </c>
      <c r="M86" s="11">
        <f>IF(B86="","",IFERROR(VLOOKUP(B86,Cylinders!$A$6:$J$105,5,FALSE),""))</f>
        <v/>
      </c>
      <c r="N86" s="11">
        <f>IF(OR(B86="",Q86="Voided"),"",IF(COUNT(J86,M86)&lt;2,"",IFERROR(J86*M86,"")))</f>
        <v/>
      </c>
      <c r="O86" s="19" t="n"/>
      <c r="P86" s="19" t="n"/>
      <c r="Q86" s="19" t="n"/>
      <c r="R86" s="24">
        <f>IF(B86="","",IFERROR(VLOOKUP(B86,Cylinders!$A$6:$J$105,4,FALSE)-SUMIFS($I$6:I86,$B$6:B86,B86,$Q$6:Q86,"&lt;&gt;Voided")+SUMIFS($K$6:K86,$B$6:B86,B86,$Q$6:Q86,"&lt;&gt;Voided"),""))</f>
        <v/>
      </c>
      <c r="S86" s="23">
        <f>IF(B86="","",IF(OR(A86="",D86="",Q86=""),"CHECK REQUIRED INPUTS",IF(C86="CHECK CYLINDER","CHECK CYLINDER",IF(Q86="Voided","VOIDED",IF(COUNT(I86:K86)&lt;3,"CHECK QUANTITIES",IF(ABS(I86-J86-K86)&gt;Assumptions!$B$7,"CHECK QUANTITIES",IF(R86&lt;0,"CHECK NEGATIVE BALANCE",IF(R86&lt;IFERROR(VLOOKUP(B86,Cylinders!$A$6:$J$105,4,FALSE),0)*Assumptions!$B$6,"CHECK LOW BALANCE","OK")))))))</f>
        <v/>
      </c>
    </row>
    <row r="87" ht="30" customHeight="1">
      <c r="A87" s="18" t="n"/>
      <c r="B87" s="19" t="n"/>
      <c r="C87" s="25">
        <f>IF(B87="","",IFERROR(VLOOKUP(B87,Cylinders!$A$6:$J$105,2,FALSE),"CHECK CYLINDER"))</f>
        <v/>
      </c>
      <c r="D87" s="19" t="n"/>
      <c r="E87" s="21" t="n"/>
      <c r="F87" s="19" t="n"/>
      <c r="G87" s="21" t="n"/>
      <c r="H87" s="21" t="n"/>
      <c r="I87" s="22" t="n"/>
      <c r="J87" s="22" t="n"/>
      <c r="K87" s="22" t="n"/>
      <c r="L87" s="26">
        <f>IF(B87="","","lb")</f>
        <v/>
      </c>
      <c r="M87" s="27">
        <f>IF(B87="","",IFERROR(VLOOKUP(B87,Cylinders!$A$6:$J$105,5,FALSE),""))</f>
        <v/>
      </c>
      <c r="N87" s="27">
        <f>IF(OR(B87="",Q87="Voided"),"",IF(COUNT(J87,M87)&lt;2,"",IFERROR(J87*M87,"")))</f>
        <v/>
      </c>
      <c r="O87" s="19" t="n"/>
      <c r="P87" s="19" t="n"/>
      <c r="Q87" s="19" t="n"/>
      <c r="R87" s="28">
        <f>IF(B87="","",IFERROR(VLOOKUP(B87,Cylinders!$A$6:$J$105,4,FALSE)-SUMIFS($I$6:I87,$B$6:B87,B87,$Q$6:Q87,"&lt;&gt;Voided")+SUMIFS($K$6:K87,$B$6:B87,B87,$Q$6:Q87,"&lt;&gt;Voided"),""))</f>
        <v/>
      </c>
      <c r="S87" s="26">
        <f>IF(B87="","",IF(OR(A87="",D87="",Q87=""),"CHECK REQUIRED INPUTS",IF(C87="CHECK CYLINDER","CHECK CYLINDER",IF(Q87="Voided","VOIDED",IF(COUNT(I87:K87)&lt;3,"CHECK QUANTITIES",IF(ABS(I87-J87-K87)&gt;Assumptions!$B$7,"CHECK QUANTITIES",IF(R87&lt;0,"CHECK NEGATIVE BALANCE",IF(R87&lt;IFERROR(VLOOKUP(B87,Cylinders!$A$6:$J$105,4,FALSE),0)*Assumptions!$B$6,"CHECK LOW BALANCE","OK")))))))</f>
        <v/>
      </c>
    </row>
    <row r="88" ht="30" customHeight="1">
      <c r="A88" s="18" t="n"/>
      <c r="B88" s="19" t="n"/>
      <c r="C88" s="20">
        <f>IF(B88="","",IFERROR(VLOOKUP(B88,Cylinders!$A$6:$J$105,2,FALSE),"CHECK CYLINDER"))</f>
        <v/>
      </c>
      <c r="D88" s="19" t="n"/>
      <c r="E88" s="21" t="n"/>
      <c r="F88" s="19" t="n"/>
      <c r="G88" s="21" t="n"/>
      <c r="H88" s="21" t="n"/>
      <c r="I88" s="22" t="n"/>
      <c r="J88" s="22" t="n"/>
      <c r="K88" s="22" t="n"/>
      <c r="L88" s="23">
        <f>IF(B88="","","lb")</f>
        <v/>
      </c>
      <c r="M88" s="11">
        <f>IF(B88="","",IFERROR(VLOOKUP(B88,Cylinders!$A$6:$J$105,5,FALSE),""))</f>
        <v/>
      </c>
      <c r="N88" s="11">
        <f>IF(OR(B88="",Q88="Voided"),"",IF(COUNT(J88,M88)&lt;2,"",IFERROR(J88*M88,"")))</f>
        <v/>
      </c>
      <c r="O88" s="19" t="n"/>
      <c r="P88" s="19" t="n"/>
      <c r="Q88" s="19" t="n"/>
      <c r="R88" s="24">
        <f>IF(B88="","",IFERROR(VLOOKUP(B88,Cylinders!$A$6:$J$105,4,FALSE)-SUMIFS($I$6:I88,$B$6:B88,B88,$Q$6:Q88,"&lt;&gt;Voided")+SUMIFS($K$6:K88,$B$6:B88,B88,$Q$6:Q88,"&lt;&gt;Voided"),""))</f>
        <v/>
      </c>
      <c r="S88" s="23">
        <f>IF(B88="","",IF(OR(A88="",D88="",Q88=""),"CHECK REQUIRED INPUTS",IF(C88="CHECK CYLINDER","CHECK CYLINDER",IF(Q88="Voided","VOIDED",IF(COUNT(I88:K88)&lt;3,"CHECK QUANTITIES",IF(ABS(I88-J88-K88)&gt;Assumptions!$B$7,"CHECK QUANTITIES",IF(R88&lt;0,"CHECK NEGATIVE BALANCE",IF(R88&lt;IFERROR(VLOOKUP(B88,Cylinders!$A$6:$J$105,4,FALSE),0)*Assumptions!$B$6,"CHECK LOW BALANCE","OK")))))))</f>
        <v/>
      </c>
    </row>
    <row r="89" ht="30" customHeight="1">
      <c r="A89" s="18" t="n"/>
      <c r="B89" s="19" t="n"/>
      <c r="C89" s="25">
        <f>IF(B89="","",IFERROR(VLOOKUP(B89,Cylinders!$A$6:$J$105,2,FALSE),"CHECK CYLINDER"))</f>
        <v/>
      </c>
      <c r="D89" s="19" t="n"/>
      <c r="E89" s="21" t="n"/>
      <c r="F89" s="19" t="n"/>
      <c r="G89" s="21" t="n"/>
      <c r="H89" s="21" t="n"/>
      <c r="I89" s="22" t="n"/>
      <c r="J89" s="22" t="n"/>
      <c r="K89" s="22" t="n"/>
      <c r="L89" s="26">
        <f>IF(B89="","","lb")</f>
        <v/>
      </c>
      <c r="M89" s="27">
        <f>IF(B89="","",IFERROR(VLOOKUP(B89,Cylinders!$A$6:$J$105,5,FALSE),""))</f>
        <v/>
      </c>
      <c r="N89" s="27">
        <f>IF(OR(B89="",Q89="Voided"),"",IF(COUNT(J89,M89)&lt;2,"",IFERROR(J89*M89,"")))</f>
        <v/>
      </c>
      <c r="O89" s="19" t="n"/>
      <c r="P89" s="19" t="n"/>
      <c r="Q89" s="19" t="n"/>
      <c r="R89" s="28">
        <f>IF(B89="","",IFERROR(VLOOKUP(B89,Cylinders!$A$6:$J$105,4,FALSE)-SUMIFS($I$6:I89,$B$6:B89,B89,$Q$6:Q89,"&lt;&gt;Voided")+SUMIFS($K$6:K89,$B$6:B89,B89,$Q$6:Q89,"&lt;&gt;Voided"),""))</f>
        <v/>
      </c>
      <c r="S89" s="26">
        <f>IF(B89="","",IF(OR(A89="",D89="",Q89=""),"CHECK REQUIRED INPUTS",IF(C89="CHECK CYLINDER","CHECK CYLINDER",IF(Q89="Voided","VOIDED",IF(COUNT(I89:K89)&lt;3,"CHECK QUANTITIES",IF(ABS(I89-J89-K89)&gt;Assumptions!$B$7,"CHECK QUANTITIES",IF(R89&lt;0,"CHECK NEGATIVE BALANCE",IF(R89&lt;IFERROR(VLOOKUP(B89,Cylinders!$A$6:$J$105,4,FALSE),0)*Assumptions!$B$6,"CHECK LOW BALANCE","OK")))))))</f>
        <v/>
      </c>
    </row>
    <row r="90" ht="30" customHeight="1">
      <c r="A90" s="18" t="n"/>
      <c r="B90" s="19" t="n"/>
      <c r="C90" s="20">
        <f>IF(B90="","",IFERROR(VLOOKUP(B90,Cylinders!$A$6:$J$105,2,FALSE),"CHECK CYLINDER"))</f>
        <v/>
      </c>
      <c r="D90" s="19" t="n"/>
      <c r="E90" s="21" t="n"/>
      <c r="F90" s="19" t="n"/>
      <c r="G90" s="21" t="n"/>
      <c r="H90" s="21" t="n"/>
      <c r="I90" s="22" t="n"/>
      <c r="J90" s="22" t="n"/>
      <c r="K90" s="22" t="n"/>
      <c r="L90" s="23">
        <f>IF(B90="","","lb")</f>
        <v/>
      </c>
      <c r="M90" s="11">
        <f>IF(B90="","",IFERROR(VLOOKUP(B90,Cylinders!$A$6:$J$105,5,FALSE),""))</f>
        <v/>
      </c>
      <c r="N90" s="11">
        <f>IF(OR(B90="",Q90="Voided"),"",IF(COUNT(J90,M90)&lt;2,"",IFERROR(J90*M90,"")))</f>
        <v/>
      </c>
      <c r="O90" s="19" t="n"/>
      <c r="P90" s="19" t="n"/>
      <c r="Q90" s="19" t="n"/>
      <c r="R90" s="24">
        <f>IF(B90="","",IFERROR(VLOOKUP(B90,Cylinders!$A$6:$J$105,4,FALSE)-SUMIFS($I$6:I90,$B$6:B90,B90,$Q$6:Q90,"&lt;&gt;Voided")+SUMIFS($K$6:K90,$B$6:B90,B90,$Q$6:Q90,"&lt;&gt;Voided"),""))</f>
        <v/>
      </c>
      <c r="S90" s="23">
        <f>IF(B90="","",IF(OR(A90="",D90="",Q90=""),"CHECK REQUIRED INPUTS",IF(C90="CHECK CYLINDER","CHECK CYLINDER",IF(Q90="Voided","VOIDED",IF(COUNT(I90:K90)&lt;3,"CHECK QUANTITIES",IF(ABS(I90-J90-K90)&gt;Assumptions!$B$7,"CHECK QUANTITIES",IF(R90&lt;0,"CHECK NEGATIVE BALANCE",IF(R90&lt;IFERROR(VLOOKUP(B90,Cylinders!$A$6:$J$105,4,FALSE),0)*Assumptions!$B$6,"CHECK LOW BALANCE","OK")))))))</f>
        <v/>
      </c>
    </row>
    <row r="91" ht="30" customHeight="1">
      <c r="A91" s="18" t="n"/>
      <c r="B91" s="19" t="n"/>
      <c r="C91" s="25">
        <f>IF(B91="","",IFERROR(VLOOKUP(B91,Cylinders!$A$6:$J$105,2,FALSE),"CHECK CYLINDER"))</f>
        <v/>
      </c>
      <c r="D91" s="19" t="n"/>
      <c r="E91" s="21" t="n"/>
      <c r="F91" s="19" t="n"/>
      <c r="G91" s="21" t="n"/>
      <c r="H91" s="21" t="n"/>
      <c r="I91" s="22" t="n"/>
      <c r="J91" s="22" t="n"/>
      <c r="K91" s="22" t="n"/>
      <c r="L91" s="26">
        <f>IF(B91="","","lb")</f>
        <v/>
      </c>
      <c r="M91" s="27">
        <f>IF(B91="","",IFERROR(VLOOKUP(B91,Cylinders!$A$6:$J$105,5,FALSE),""))</f>
        <v/>
      </c>
      <c r="N91" s="27">
        <f>IF(OR(B91="",Q91="Voided"),"",IF(COUNT(J91,M91)&lt;2,"",IFERROR(J91*M91,"")))</f>
        <v/>
      </c>
      <c r="O91" s="19" t="n"/>
      <c r="P91" s="19" t="n"/>
      <c r="Q91" s="19" t="n"/>
      <c r="R91" s="28">
        <f>IF(B91="","",IFERROR(VLOOKUP(B91,Cylinders!$A$6:$J$105,4,FALSE)-SUMIFS($I$6:I91,$B$6:B91,B91,$Q$6:Q91,"&lt;&gt;Voided")+SUMIFS($K$6:K91,$B$6:B91,B91,$Q$6:Q91,"&lt;&gt;Voided"),""))</f>
        <v/>
      </c>
      <c r="S91" s="26">
        <f>IF(B91="","",IF(OR(A91="",D91="",Q91=""),"CHECK REQUIRED INPUTS",IF(C91="CHECK CYLINDER","CHECK CYLINDER",IF(Q91="Voided","VOIDED",IF(COUNT(I91:K91)&lt;3,"CHECK QUANTITIES",IF(ABS(I91-J91-K91)&gt;Assumptions!$B$7,"CHECK QUANTITIES",IF(R91&lt;0,"CHECK NEGATIVE BALANCE",IF(R91&lt;IFERROR(VLOOKUP(B91,Cylinders!$A$6:$J$105,4,FALSE),0)*Assumptions!$B$6,"CHECK LOW BALANCE","OK")))))))</f>
        <v/>
      </c>
    </row>
    <row r="92" ht="30" customHeight="1">
      <c r="A92" s="18" t="n"/>
      <c r="B92" s="19" t="n"/>
      <c r="C92" s="20">
        <f>IF(B92="","",IFERROR(VLOOKUP(B92,Cylinders!$A$6:$J$105,2,FALSE),"CHECK CYLINDER"))</f>
        <v/>
      </c>
      <c r="D92" s="19" t="n"/>
      <c r="E92" s="21" t="n"/>
      <c r="F92" s="19" t="n"/>
      <c r="G92" s="21" t="n"/>
      <c r="H92" s="21" t="n"/>
      <c r="I92" s="22" t="n"/>
      <c r="J92" s="22" t="n"/>
      <c r="K92" s="22" t="n"/>
      <c r="L92" s="23">
        <f>IF(B92="","","lb")</f>
        <v/>
      </c>
      <c r="M92" s="11">
        <f>IF(B92="","",IFERROR(VLOOKUP(B92,Cylinders!$A$6:$J$105,5,FALSE),""))</f>
        <v/>
      </c>
      <c r="N92" s="11">
        <f>IF(OR(B92="",Q92="Voided"),"",IF(COUNT(J92,M92)&lt;2,"",IFERROR(J92*M92,"")))</f>
        <v/>
      </c>
      <c r="O92" s="19" t="n"/>
      <c r="P92" s="19" t="n"/>
      <c r="Q92" s="19" t="n"/>
      <c r="R92" s="24">
        <f>IF(B92="","",IFERROR(VLOOKUP(B92,Cylinders!$A$6:$J$105,4,FALSE)-SUMIFS($I$6:I92,$B$6:B92,B92,$Q$6:Q92,"&lt;&gt;Voided")+SUMIFS($K$6:K92,$B$6:B92,B92,$Q$6:Q92,"&lt;&gt;Voided"),""))</f>
        <v/>
      </c>
      <c r="S92" s="23">
        <f>IF(B92="","",IF(OR(A92="",D92="",Q92=""),"CHECK REQUIRED INPUTS",IF(C92="CHECK CYLINDER","CHECK CYLINDER",IF(Q92="Voided","VOIDED",IF(COUNT(I92:K92)&lt;3,"CHECK QUANTITIES",IF(ABS(I92-J92-K92)&gt;Assumptions!$B$7,"CHECK QUANTITIES",IF(R92&lt;0,"CHECK NEGATIVE BALANCE",IF(R92&lt;IFERROR(VLOOKUP(B92,Cylinders!$A$6:$J$105,4,FALSE),0)*Assumptions!$B$6,"CHECK LOW BALANCE","OK")))))))</f>
        <v/>
      </c>
    </row>
    <row r="93" ht="30" customHeight="1">
      <c r="A93" s="18" t="n"/>
      <c r="B93" s="19" t="n"/>
      <c r="C93" s="25">
        <f>IF(B93="","",IFERROR(VLOOKUP(B93,Cylinders!$A$6:$J$105,2,FALSE),"CHECK CYLINDER"))</f>
        <v/>
      </c>
      <c r="D93" s="19" t="n"/>
      <c r="E93" s="21" t="n"/>
      <c r="F93" s="19" t="n"/>
      <c r="G93" s="21" t="n"/>
      <c r="H93" s="21" t="n"/>
      <c r="I93" s="22" t="n"/>
      <c r="J93" s="22" t="n"/>
      <c r="K93" s="22" t="n"/>
      <c r="L93" s="26">
        <f>IF(B93="","","lb")</f>
        <v/>
      </c>
      <c r="M93" s="27">
        <f>IF(B93="","",IFERROR(VLOOKUP(B93,Cylinders!$A$6:$J$105,5,FALSE),""))</f>
        <v/>
      </c>
      <c r="N93" s="27">
        <f>IF(OR(B93="",Q93="Voided"),"",IF(COUNT(J93,M93)&lt;2,"",IFERROR(J93*M93,"")))</f>
        <v/>
      </c>
      <c r="O93" s="19" t="n"/>
      <c r="P93" s="19" t="n"/>
      <c r="Q93" s="19" t="n"/>
      <c r="R93" s="28">
        <f>IF(B93="","",IFERROR(VLOOKUP(B93,Cylinders!$A$6:$J$105,4,FALSE)-SUMIFS($I$6:I93,$B$6:B93,B93,$Q$6:Q93,"&lt;&gt;Voided")+SUMIFS($K$6:K93,$B$6:B93,B93,$Q$6:Q93,"&lt;&gt;Voided"),""))</f>
        <v/>
      </c>
      <c r="S93" s="26">
        <f>IF(B93="","",IF(OR(A93="",D93="",Q93=""),"CHECK REQUIRED INPUTS",IF(C93="CHECK CYLINDER","CHECK CYLINDER",IF(Q93="Voided","VOIDED",IF(COUNT(I93:K93)&lt;3,"CHECK QUANTITIES",IF(ABS(I93-J93-K93)&gt;Assumptions!$B$7,"CHECK QUANTITIES",IF(R93&lt;0,"CHECK NEGATIVE BALANCE",IF(R93&lt;IFERROR(VLOOKUP(B93,Cylinders!$A$6:$J$105,4,FALSE),0)*Assumptions!$B$6,"CHECK LOW BALANCE","OK")))))))</f>
        <v/>
      </c>
    </row>
    <row r="94" ht="30" customHeight="1">
      <c r="A94" s="18" t="n"/>
      <c r="B94" s="19" t="n"/>
      <c r="C94" s="20">
        <f>IF(B94="","",IFERROR(VLOOKUP(B94,Cylinders!$A$6:$J$105,2,FALSE),"CHECK CYLINDER"))</f>
        <v/>
      </c>
      <c r="D94" s="19" t="n"/>
      <c r="E94" s="21" t="n"/>
      <c r="F94" s="19" t="n"/>
      <c r="G94" s="21" t="n"/>
      <c r="H94" s="21" t="n"/>
      <c r="I94" s="22" t="n"/>
      <c r="J94" s="22" t="n"/>
      <c r="K94" s="22" t="n"/>
      <c r="L94" s="23">
        <f>IF(B94="","","lb")</f>
        <v/>
      </c>
      <c r="M94" s="11">
        <f>IF(B94="","",IFERROR(VLOOKUP(B94,Cylinders!$A$6:$J$105,5,FALSE),""))</f>
        <v/>
      </c>
      <c r="N94" s="11">
        <f>IF(OR(B94="",Q94="Voided"),"",IF(COUNT(J94,M94)&lt;2,"",IFERROR(J94*M94,"")))</f>
        <v/>
      </c>
      <c r="O94" s="19" t="n"/>
      <c r="P94" s="19" t="n"/>
      <c r="Q94" s="19" t="n"/>
      <c r="R94" s="24">
        <f>IF(B94="","",IFERROR(VLOOKUP(B94,Cylinders!$A$6:$J$105,4,FALSE)-SUMIFS($I$6:I94,$B$6:B94,B94,$Q$6:Q94,"&lt;&gt;Voided")+SUMIFS($K$6:K94,$B$6:B94,B94,$Q$6:Q94,"&lt;&gt;Voided"),""))</f>
        <v/>
      </c>
      <c r="S94" s="23">
        <f>IF(B94="","",IF(OR(A94="",D94="",Q94=""),"CHECK REQUIRED INPUTS",IF(C94="CHECK CYLINDER","CHECK CYLINDER",IF(Q94="Voided","VOIDED",IF(COUNT(I94:K94)&lt;3,"CHECK QUANTITIES",IF(ABS(I94-J94-K94)&gt;Assumptions!$B$7,"CHECK QUANTITIES",IF(R94&lt;0,"CHECK NEGATIVE BALANCE",IF(R94&lt;IFERROR(VLOOKUP(B94,Cylinders!$A$6:$J$105,4,FALSE),0)*Assumptions!$B$6,"CHECK LOW BALANCE","OK")))))))</f>
        <v/>
      </c>
    </row>
    <row r="95" ht="30" customHeight="1">
      <c r="A95" s="18" t="n"/>
      <c r="B95" s="19" t="n"/>
      <c r="C95" s="25">
        <f>IF(B95="","",IFERROR(VLOOKUP(B95,Cylinders!$A$6:$J$105,2,FALSE),"CHECK CYLINDER"))</f>
        <v/>
      </c>
      <c r="D95" s="19" t="n"/>
      <c r="E95" s="21" t="n"/>
      <c r="F95" s="19" t="n"/>
      <c r="G95" s="21" t="n"/>
      <c r="H95" s="21" t="n"/>
      <c r="I95" s="22" t="n"/>
      <c r="J95" s="22" t="n"/>
      <c r="K95" s="22" t="n"/>
      <c r="L95" s="26">
        <f>IF(B95="","","lb")</f>
        <v/>
      </c>
      <c r="M95" s="27">
        <f>IF(B95="","",IFERROR(VLOOKUP(B95,Cylinders!$A$6:$J$105,5,FALSE),""))</f>
        <v/>
      </c>
      <c r="N95" s="27">
        <f>IF(OR(B95="",Q95="Voided"),"",IF(COUNT(J95,M95)&lt;2,"",IFERROR(J95*M95,"")))</f>
        <v/>
      </c>
      <c r="O95" s="19" t="n"/>
      <c r="P95" s="19" t="n"/>
      <c r="Q95" s="19" t="n"/>
      <c r="R95" s="28">
        <f>IF(B95="","",IFERROR(VLOOKUP(B95,Cylinders!$A$6:$J$105,4,FALSE)-SUMIFS($I$6:I95,$B$6:B95,B95,$Q$6:Q95,"&lt;&gt;Voided")+SUMIFS($K$6:K95,$B$6:B95,B95,$Q$6:Q95,"&lt;&gt;Voided"),""))</f>
        <v/>
      </c>
      <c r="S95" s="26">
        <f>IF(B95="","",IF(OR(A95="",D95="",Q95=""),"CHECK REQUIRED INPUTS",IF(C95="CHECK CYLINDER","CHECK CYLINDER",IF(Q95="Voided","VOIDED",IF(COUNT(I95:K95)&lt;3,"CHECK QUANTITIES",IF(ABS(I95-J95-K95)&gt;Assumptions!$B$7,"CHECK QUANTITIES",IF(R95&lt;0,"CHECK NEGATIVE BALANCE",IF(R95&lt;IFERROR(VLOOKUP(B95,Cylinders!$A$6:$J$105,4,FALSE),0)*Assumptions!$B$6,"CHECK LOW BALANCE","OK")))))))</f>
        <v/>
      </c>
    </row>
    <row r="96" ht="30" customHeight="1">
      <c r="A96" s="18" t="n"/>
      <c r="B96" s="19" t="n"/>
      <c r="C96" s="20">
        <f>IF(B96="","",IFERROR(VLOOKUP(B96,Cylinders!$A$6:$J$105,2,FALSE),"CHECK CYLINDER"))</f>
        <v/>
      </c>
      <c r="D96" s="19" t="n"/>
      <c r="E96" s="21" t="n"/>
      <c r="F96" s="19" t="n"/>
      <c r="G96" s="21" t="n"/>
      <c r="H96" s="21" t="n"/>
      <c r="I96" s="22" t="n"/>
      <c r="J96" s="22" t="n"/>
      <c r="K96" s="22" t="n"/>
      <c r="L96" s="23">
        <f>IF(B96="","","lb")</f>
        <v/>
      </c>
      <c r="M96" s="11">
        <f>IF(B96="","",IFERROR(VLOOKUP(B96,Cylinders!$A$6:$J$105,5,FALSE),""))</f>
        <v/>
      </c>
      <c r="N96" s="11">
        <f>IF(OR(B96="",Q96="Voided"),"",IF(COUNT(J96,M96)&lt;2,"",IFERROR(J96*M96,"")))</f>
        <v/>
      </c>
      <c r="O96" s="19" t="n"/>
      <c r="P96" s="19" t="n"/>
      <c r="Q96" s="19" t="n"/>
      <c r="R96" s="24">
        <f>IF(B96="","",IFERROR(VLOOKUP(B96,Cylinders!$A$6:$J$105,4,FALSE)-SUMIFS($I$6:I96,$B$6:B96,B96,$Q$6:Q96,"&lt;&gt;Voided")+SUMIFS($K$6:K96,$B$6:B96,B96,$Q$6:Q96,"&lt;&gt;Voided"),""))</f>
        <v/>
      </c>
      <c r="S96" s="23">
        <f>IF(B96="","",IF(OR(A96="",D96="",Q96=""),"CHECK REQUIRED INPUTS",IF(C96="CHECK CYLINDER","CHECK CYLINDER",IF(Q96="Voided","VOIDED",IF(COUNT(I96:K96)&lt;3,"CHECK QUANTITIES",IF(ABS(I96-J96-K96)&gt;Assumptions!$B$7,"CHECK QUANTITIES",IF(R96&lt;0,"CHECK NEGATIVE BALANCE",IF(R96&lt;IFERROR(VLOOKUP(B96,Cylinders!$A$6:$J$105,4,FALSE),0)*Assumptions!$B$6,"CHECK LOW BALANCE","OK")))))))</f>
        <v/>
      </c>
    </row>
    <row r="97" ht="30" customHeight="1">
      <c r="A97" s="18" t="n"/>
      <c r="B97" s="19" t="n"/>
      <c r="C97" s="25">
        <f>IF(B97="","",IFERROR(VLOOKUP(B97,Cylinders!$A$6:$J$105,2,FALSE),"CHECK CYLINDER"))</f>
        <v/>
      </c>
      <c r="D97" s="19" t="n"/>
      <c r="E97" s="21" t="n"/>
      <c r="F97" s="19" t="n"/>
      <c r="G97" s="21" t="n"/>
      <c r="H97" s="21" t="n"/>
      <c r="I97" s="22" t="n"/>
      <c r="J97" s="22" t="n"/>
      <c r="K97" s="22" t="n"/>
      <c r="L97" s="26">
        <f>IF(B97="","","lb")</f>
        <v/>
      </c>
      <c r="M97" s="27">
        <f>IF(B97="","",IFERROR(VLOOKUP(B97,Cylinders!$A$6:$J$105,5,FALSE),""))</f>
        <v/>
      </c>
      <c r="N97" s="27">
        <f>IF(OR(B97="",Q97="Voided"),"",IF(COUNT(J97,M97)&lt;2,"",IFERROR(J97*M97,"")))</f>
        <v/>
      </c>
      <c r="O97" s="19" t="n"/>
      <c r="P97" s="19" t="n"/>
      <c r="Q97" s="19" t="n"/>
      <c r="R97" s="28">
        <f>IF(B97="","",IFERROR(VLOOKUP(B97,Cylinders!$A$6:$J$105,4,FALSE)-SUMIFS($I$6:I97,$B$6:B97,B97,$Q$6:Q97,"&lt;&gt;Voided")+SUMIFS($K$6:K97,$B$6:B97,B97,$Q$6:Q97,"&lt;&gt;Voided"),""))</f>
        <v/>
      </c>
      <c r="S97" s="26">
        <f>IF(B97="","",IF(OR(A97="",D97="",Q97=""),"CHECK REQUIRED INPUTS",IF(C97="CHECK CYLINDER","CHECK CYLINDER",IF(Q97="Voided","VOIDED",IF(COUNT(I97:K97)&lt;3,"CHECK QUANTITIES",IF(ABS(I97-J97-K97)&gt;Assumptions!$B$7,"CHECK QUANTITIES",IF(R97&lt;0,"CHECK NEGATIVE BALANCE",IF(R97&lt;IFERROR(VLOOKUP(B97,Cylinders!$A$6:$J$105,4,FALSE),0)*Assumptions!$B$6,"CHECK LOW BALANCE","OK")))))))</f>
        <v/>
      </c>
    </row>
    <row r="98" ht="30" customHeight="1">
      <c r="A98" s="18" t="n"/>
      <c r="B98" s="19" t="n"/>
      <c r="C98" s="20">
        <f>IF(B98="","",IFERROR(VLOOKUP(B98,Cylinders!$A$6:$J$105,2,FALSE),"CHECK CYLINDER"))</f>
        <v/>
      </c>
      <c r="D98" s="19" t="n"/>
      <c r="E98" s="21" t="n"/>
      <c r="F98" s="19" t="n"/>
      <c r="G98" s="21" t="n"/>
      <c r="H98" s="21" t="n"/>
      <c r="I98" s="22" t="n"/>
      <c r="J98" s="22" t="n"/>
      <c r="K98" s="22" t="n"/>
      <c r="L98" s="23">
        <f>IF(B98="","","lb")</f>
        <v/>
      </c>
      <c r="M98" s="11">
        <f>IF(B98="","",IFERROR(VLOOKUP(B98,Cylinders!$A$6:$J$105,5,FALSE),""))</f>
        <v/>
      </c>
      <c r="N98" s="11">
        <f>IF(OR(B98="",Q98="Voided"),"",IF(COUNT(J98,M98)&lt;2,"",IFERROR(J98*M98,"")))</f>
        <v/>
      </c>
      <c r="O98" s="19" t="n"/>
      <c r="P98" s="19" t="n"/>
      <c r="Q98" s="19" t="n"/>
      <c r="R98" s="24">
        <f>IF(B98="","",IFERROR(VLOOKUP(B98,Cylinders!$A$6:$J$105,4,FALSE)-SUMIFS($I$6:I98,$B$6:B98,B98,$Q$6:Q98,"&lt;&gt;Voided")+SUMIFS($K$6:K98,$B$6:B98,B98,$Q$6:Q98,"&lt;&gt;Voided"),""))</f>
        <v/>
      </c>
      <c r="S98" s="23">
        <f>IF(B98="","",IF(OR(A98="",D98="",Q98=""),"CHECK REQUIRED INPUTS",IF(C98="CHECK CYLINDER","CHECK CYLINDER",IF(Q98="Voided","VOIDED",IF(COUNT(I98:K98)&lt;3,"CHECK QUANTITIES",IF(ABS(I98-J98-K98)&gt;Assumptions!$B$7,"CHECK QUANTITIES",IF(R98&lt;0,"CHECK NEGATIVE BALANCE",IF(R98&lt;IFERROR(VLOOKUP(B98,Cylinders!$A$6:$J$105,4,FALSE),0)*Assumptions!$B$6,"CHECK LOW BALANCE","OK")))))))</f>
        <v/>
      </c>
    </row>
    <row r="99" ht="30" customHeight="1">
      <c r="A99" s="18" t="n"/>
      <c r="B99" s="19" t="n"/>
      <c r="C99" s="25">
        <f>IF(B99="","",IFERROR(VLOOKUP(B99,Cylinders!$A$6:$J$105,2,FALSE),"CHECK CYLINDER"))</f>
        <v/>
      </c>
      <c r="D99" s="19" t="n"/>
      <c r="E99" s="21" t="n"/>
      <c r="F99" s="19" t="n"/>
      <c r="G99" s="21" t="n"/>
      <c r="H99" s="21" t="n"/>
      <c r="I99" s="22" t="n"/>
      <c r="J99" s="22" t="n"/>
      <c r="K99" s="22" t="n"/>
      <c r="L99" s="26">
        <f>IF(B99="","","lb")</f>
        <v/>
      </c>
      <c r="M99" s="27">
        <f>IF(B99="","",IFERROR(VLOOKUP(B99,Cylinders!$A$6:$J$105,5,FALSE),""))</f>
        <v/>
      </c>
      <c r="N99" s="27">
        <f>IF(OR(B99="",Q99="Voided"),"",IF(COUNT(J99,M99)&lt;2,"",IFERROR(J99*M99,"")))</f>
        <v/>
      </c>
      <c r="O99" s="19" t="n"/>
      <c r="P99" s="19" t="n"/>
      <c r="Q99" s="19" t="n"/>
      <c r="R99" s="28">
        <f>IF(B99="","",IFERROR(VLOOKUP(B99,Cylinders!$A$6:$J$105,4,FALSE)-SUMIFS($I$6:I99,$B$6:B99,B99,$Q$6:Q99,"&lt;&gt;Voided")+SUMIFS($K$6:K99,$B$6:B99,B99,$Q$6:Q99,"&lt;&gt;Voided"),""))</f>
        <v/>
      </c>
      <c r="S99" s="26">
        <f>IF(B99="","",IF(OR(A99="",D99="",Q99=""),"CHECK REQUIRED INPUTS",IF(C99="CHECK CYLINDER","CHECK CYLINDER",IF(Q99="Voided","VOIDED",IF(COUNT(I99:K99)&lt;3,"CHECK QUANTITIES",IF(ABS(I99-J99-K99)&gt;Assumptions!$B$7,"CHECK QUANTITIES",IF(R99&lt;0,"CHECK NEGATIVE BALANCE",IF(R99&lt;IFERROR(VLOOKUP(B99,Cylinders!$A$6:$J$105,4,FALSE),0)*Assumptions!$B$6,"CHECK LOW BALANCE","OK")))))))</f>
        <v/>
      </c>
    </row>
    <row r="100" ht="30" customHeight="1">
      <c r="A100" s="18" t="n"/>
      <c r="B100" s="19" t="n"/>
      <c r="C100" s="20">
        <f>IF(B100="","",IFERROR(VLOOKUP(B100,Cylinders!$A$6:$J$105,2,FALSE),"CHECK CYLINDER"))</f>
        <v/>
      </c>
      <c r="D100" s="19" t="n"/>
      <c r="E100" s="21" t="n"/>
      <c r="F100" s="19" t="n"/>
      <c r="G100" s="21" t="n"/>
      <c r="H100" s="21" t="n"/>
      <c r="I100" s="22" t="n"/>
      <c r="J100" s="22" t="n"/>
      <c r="K100" s="22" t="n"/>
      <c r="L100" s="23">
        <f>IF(B100="","","lb")</f>
        <v/>
      </c>
      <c r="M100" s="11">
        <f>IF(B100="","",IFERROR(VLOOKUP(B100,Cylinders!$A$6:$J$105,5,FALSE),""))</f>
        <v/>
      </c>
      <c r="N100" s="11">
        <f>IF(OR(B100="",Q100="Voided"),"",IF(COUNT(J100,M100)&lt;2,"",IFERROR(J100*M100,"")))</f>
        <v/>
      </c>
      <c r="O100" s="19" t="n"/>
      <c r="P100" s="19" t="n"/>
      <c r="Q100" s="19" t="n"/>
      <c r="R100" s="24">
        <f>IF(B100="","",IFERROR(VLOOKUP(B100,Cylinders!$A$6:$J$105,4,FALSE)-SUMIFS($I$6:I100,$B$6:B100,B100,$Q$6:Q100,"&lt;&gt;Voided")+SUMIFS($K$6:K100,$B$6:B100,B100,$Q$6:Q100,"&lt;&gt;Voided"),""))</f>
        <v/>
      </c>
      <c r="S100" s="23">
        <f>IF(B100="","",IF(OR(A100="",D100="",Q100=""),"CHECK REQUIRED INPUTS",IF(C100="CHECK CYLINDER","CHECK CYLINDER",IF(Q100="Voided","VOIDED",IF(COUNT(I100:K100)&lt;3,"CHECK QUANTITIES",IF(ABS(I100-J100-K100)&gt;Assumptions!$B$7,"CHECK QUANTITIES",IF(R100&lt;0,"CHECK NEGATIVE BALANCE",IF(R100&lt;IFERROR(VLOOKUP(B100,Cylinders!$A$6:$J$105,4,FALSE),0)*Assumptions!$B$6,"CHECK LOW BALANCE","OK")))))))</f>
        <v/>
      </c>
    </row>
    <row r="101" ht="30" customHeight="1">
      <c r="A101" s="18" t="n"/>
      <c r="B101" s="19" t="n"/>
      <c r="C101" s="25">
        <f>IF(B101="","",IFERROR(VLOOKUP(B101,Cylinders!$A$6:$J$105,2,FALSE),"CHECK CYLINDER"))</f>
        <v/>
      </c>
      <c r="D101" s="19" t="n"/>
      <c r="E101" s="21" t="n"/>
      <c r="F101" s="19" t="n"/>
      <c r="G101" s="21" t="n"/>
      <c r="H101" s="21" t="n"/>
      <c r="I101" s="22" t="n"/>
      <c r="J101" s="22" t="n"/>
      <c r="K101" s="22" t="n"/>
      <c r="L101" s="26">
        <f>IF(B101="","","lb")</f>
        <v/>
      </c>
      <c r="M101" s="27">
        <f>IF(B101="","",IFERROR(VLOOKUP(B101,Cylinders!$A$6:$J$105,5,FALSE),""))</f>
        <v/>
      </c>
      <c r="N101" s="27">
        <f>IF(OR(B101="",Q101="Voided"),"",IF(COUNT(J101,M101)&lt;2,"",IFERROR(J101*M101,"")))</f>
        <v/>
      </c>
      <c r="O101" s="19" t="n"/>
      <c r="P101" s="19" t="n"/>
      <c r="Q101" s="19" t="n"/>
      <c r="R101" s="28">
        <f>IF(B101="","",IFERROR(VLOOKUP(B101,Cylinders!$A$6:$J$105,4,FALSE)-SUMIFS($I$6:I101,$B$6:B101,B101,$Q$6:Q101,"&lt;&gt;Voided")+SUMIFS($K$6:K101,$B$6:B101,B101,$Q$6:Q101,"&lt;&gt;Voided"),""))</f>
        <v/>
      </c>
      <c r="S101" s="26">
        <f>IF(B101="","",IF(OR(A101="",D101="",Q101=""),"CHECK REQUIRED INPUTS",IF(C101="CHECK CYLINDER","CHECK CYLINDER",IF(Q101="Voided","VOIDED",IF(COUNT(I101:K101)&lt;3,"CHECK QUANTITIES",IF(ABS(I101-J101-K101)&gt;Assumptions!$B$7,"CHECK QUANTITIES",IF(R101&lt;0,"CHECK NEGATIVE BALANCE",IF(R101&lt;IFERROR(VLOOKUP(B101,Cylinders!$A$6:$J$105,4,FALSE),0)*Assumptions!$B$6,"CHECK LOW BALANCE","OK")))))))</f>
        <v/>
      </c>
    </row>
    <row r="102" ht="30" customHeight="1">
      <c r="A102" s="18" t="n"/>
      <c r="B102" s="19" t="n"/>
      <c r="C102" s="20">
        <f>IF(B102="","",IFERROR(VLOOKUP(B102,Cylinders!$A$6:$J$105,2,FALSE),"CHECK CYLINDER"))</f>
        <v/>
      </c>
      <c r="D102" s="19" t="n"/>
      <c r="E102" s="21" t="n"/>
      <c r="F102" s="19" t="n"/>
      <c r="G102" s="21" t="n"/>
      <c r="H102" s="21" t="n"/>
      <c r="I102" s="22" t="n"/>
      <c r="J102" s="22" t="n"/>
      <c r="K102" s="22" t="n"/>
      <c r="L102" s="23">
        <f>IF(B102="","","lb")</f>
        <v/>
      </c>
      <c r="M102" s="11">
        <f>IF(B102="","",IFERROR(VLOOKUP(B102,Cylinders!$A$6:$J$105,5,FALSE),""))</f>
        <v/>
      </c>
      <c r="N102" s="11">
        <f>IF(OR(B102="",Q102="Voided"),"",IF(COUNT(J102,M102)&lt;2,"",IFERROR(J102*M102,"")))</f>
        <v/>
      </c>
      <c r="O102" s="19" t="n"/>
      <c r="P102" s="19" t="n"/>
      <c r="Q102" s="19" t="n"/>
      <c r="R102" s="24">
        <f>IF(B102="","",IFERROR(VLOOKUP(B102,Cylinders!$A$6:$J$105,4,FALSE)-SUMIFS($I$6:I102,$B$6:B102,B102,$Q$6:Q102,"&lt;&gt;Voided")+SUMIFS($K$6:K102,$B$6:B102,B102,$Q$6:Q102,"&lt;&gt;Voided"),""))</f>
        <v/>
      </c>
      <c r="S102" s="23">
        <f>IF(B102="","",IF(OR(A102="",D102="",Q102=""),"CHECK REQUIRED INPUTS",IF(C102="CHECK CYLINDER","CHECK CYLINDER",IF(Q102="Voided","VOIDED",IF(COUNT(I102:K102)&lt;3,"CHECK QUANTITIES",IF(ABS(I102-J102-K102)&gt;Assumptions!$B$7,"CHECK QUANTITIES",IF(R102&lt;0,"CHECK NEGATIVE BALANCE",IF(R102&lt;IFERROR(VLOOKUP(B102,Cylinders!$A$6:$J$105,4,FALSE),0)*Assumptions!$B$6,"CHECK LOW BALANCE","OK")))))))</f>
        <v/>
      </c>
    </row>
    <row r="103" ht="30" customHeight="1">
      <c r="A103" s="18" t="n"/>
      <c r="B103" s="19" t="n"/>
      <c r="C103" s="25">
        <f>IF(B103="","",IFERROR(VLOOKUP(B103,Cylinders!$A$6:$J$105,2,FALSE),"CHECK CYLINDER"))</f>
        <v/>
      </c>
      <c r="D103" s="19" t="n"/>
      <c r="E103" s="21" t="n"/>
      <c r="F103" s="19" t="n"/>
      <c r="G103" s="21" t="n"/>
      <c r="H103" s="21" t="n"/>
      <c r="I103" s="22" t="n"/>
      <c r="J103" s="22" t="n"/>
      <c r="K103" s="22" t="n"/>
      <c r="L103" s="26">
        <f>IF(B103="","","lb")</f>
        <v/>
      </c>
      <c r="M103" s="27">
        <f>IF(B103="","",IFERROR(VLOOKUP(B103,Cylinders!$A$6:$J$105,5,FALSE),""))</f>
        <v/>
      </c>
      <c r="N103" s="27">
        <f>IF(OR(B103="",Q103="Voided"),"",IF(COUNT(J103,M103)&lt;2,"",IFERROR(J103*M103,"")))</f>
        <v/>
      </c>
      <c r="O103" s="19" t="n"/>
      <c r="P103" s="19" t="n"/>
      <c r="Q103" s="19" t="n"/>
      <c r="R103" s="28">
        <f>IF(B103="","",IFERROR(VLOOKUP(B103,Cylinders!$A$6:$J$105,4,FALSE)-SUMIFS($I$6:I103,$B$6:B103,B103,$Q$6:Q103,"&lt;&gt;Voided")+SUMIFS($K$6:K103,$B$6:B103,B103,$Q$6:Q103,"&lt;&gt;Voided"),""))</f>
        <v/>
      </c>
      <c r="S103" s="26">
        <f>IF(B103="","",IF(OR(A103="",D103="",Q103=""),"CHECK REQUIRED INPUTS",IF(C103="CHECK CYLINDER","CHECK CYLINDER",IF(Q103="Voided","VOIDED",IF(COUNT(I103:K103)&lt;3,"CHECK QUANTITIES",IF(ABS(I103-J103-K103)&gt;Assumptions!$B$7,"CHECK QUANTITIES",IF(R103&lt;0,"CHECK NEGATIVE BALANCE",IF(R103&lt;IFERROR(VLOOKUP(B103,Cylinders!$A$6:$J$105,4,FALSE),0)*Assumptions!$B$6,"CHECK LOW BALANCE","OK")))))))</f>
        <v/>
      </c>
    </row>
    <row r="104" ht="30" customHeight="1">
      <c r="A104" s="18" t="n"/>
      <c r="B104" s="19" t="n"/>
      <c r="C104" s="20">
        <f>IF(B104="","",IFERROR(VLOOKUP(B104,Cylinders!$A$6:$J$105,2,FALSE),"CHECK CYLINDER"))</f>
        <v/>
      </c>
      <c r="D104" s="19" t="n"/>
      <c r="E104" s="21" t="n"/>
      <c r="F104" s="19" t="n"/>
      <c r="G104" s="21" t="n"/>
      <c r="H104" s="21" t="n"/>
      <c r="I104" s="22" t="n"/>
      <c r="J104" s="22" t="n"/>
      <c r="K104" s="22" t="n"/>
      <c r="L104" s="23">
        <f>IF(B104="","","lb")</f>
        <v/>
      </c>
      <c r="M104" s="11">
        <f>IF(B104="","",IFERROR(VLOOKUP(B104,Cylinders!$A$6:$J$105,5,FALSE),""))</f>
        <v/>
      </c>
      <c r="N104" s="11">
        <f>IF(OR(B104="",Q104="Voided"),"",IF(COUNT(J104,M104)&lt;2,"",IFERROR(J104*M104,"")))</f>
        <v/>
      </c>
      <c r="O104" s="19" t="n"/>
      <c r="P104" s="19" t="n"/>
      <c r="Q104" s="19" t="n"/>
      <c r="R104" s="24">
        <f>IF(B104="","",IFERROR(VLOOKUP(B104,Cylinders!$A$6:$J$105,4,FALSE)-SUMIFS($I$6:I104,$B$6:B104,B104,$Q$6:Q104,"&lt;&gt;Voided")+SUMIFS($K$6:K104,$B$6:B104,B104,$Q$6:Q104,"&lt;&gt;Voided"),""))</f>
        <v/>
      </c>
      <c r="S104" s="23">
        <f>IF(B104="","",IF(OR(A104="",D104="",Q104=""),"CHECK REQUIRED INPUTS",IF(C104="CHECK CYLINDER","CHECK CYLINDER",IF(Q104="Voided","VOIDED",IF(COUNT(I104:K104)&lt;3,"CHECK QUANTITIES",IF(ABS(I104-J104-K104)&gt;Assumptions!$B$7,"CHECK QUANTITIES",IF(R104&lt;0,"CHECK NEGATIVE BALANCE",IF(R104&lt;IFERROR(VLOOKUP(B104,Cylinders!$A$6:$J$105,4,FALSE),0)*Assumptions!$B$6,"CHECK LOW BALANCE","OK")))))))</f>
        <v/>
      </c>
    </row>
    <row r="105" ht="30" customHeight="1">
      <c r="A105" s="18" t="n"/>
      <c r="B105" s="19" t="n"/>
      <c r="C105" s="25">
        <f>IF(B105="","",IFERROR(VLOOKUP(B105,Cylinders!$A$6:$J$105,2,FALSE),"CHECK CYLINDER"))</f>
        <v/>
      </c>
      <c r="D105" s="19" t="n"/>
      <c r="E105" s="21" t="n"/>
      <c r="F105" s="19" t="n"/>
      <c r="G105" s="21" t="n"/>
      <c r="H105" s="21" t="n"/>
      <c r="I105" s="22" t="n"/>
      <c r="J105" s="22" t="n"/>
      <c r="K105" s="22" t="n"/>
      <c r="L105" s="26">
        <f>IF(B105="","","lb")</f>
        <v/>
      </c>
      <c r="M105" s="27">
        <f>IF(B105="","",IFERROR(VLOOKUP(B105,Cylinders!$A$6:$J$105,5,FALSE),""))</f>
        <v/>
      </c>
      <c r="N105" s="27">
        <f>IF(OR(B105="",Q105="Voided"),"",IF(COUNT(J105,M105)&lt;2,"",IFERROR(J105*M105,"")))</f>
        <v/>
      </c>
      <c r="O105" s="19" t="n"/>
      <c r="P105" s="19" t="n"/>
      <c r="Q105" s="19" t="n"/>
      <c r="R105" s="28">
        <f>IF(B105="","",IFERROR(VLOOKUP(B105,Cylinders!$A$6:$J$105,4,FALSE)-SUMIFS($I$6:I105,$B$6:B105,B105,$Q$6:Q105,"&lt;&gt;Voided")+SUMIFS($K$6:K105,$B$6:B105,B105,$Q$6:Q105,"&lt;&gt;Voided"),""))</f>
        <v/>
      </c>
      <c r="S105" s="26">
        <f>IF(B105="","",IF(OR(A105="",D105="",Q105=""),"CHECK REQUIRED INPUTS",IF(C105="CHECK CYLINDER","CHECK CYLINDER",IF(Q105="Voided","VOIDED",IF(COUNT(I105:K105)&lt;3,"CHECK QUANTITIES",IF(ABS(I105-J105-K105)&gt;Assumptions!$B$7,"CHECK QUANTITIES",IF(R105&lt;0,"CHECK NEGATIVE BALANCE",IF(R105&lt;IFERROR(VLOOKUP(B105,Cylinders!$A$6:$J$105,4,FALSE),0)*Assumptions!$B$6,"CHECK LOW BALANCE","OK")))))))</f>
        <v/>
      </c>
    </row>
  </sheetData>
  <autoFilter ref="A5:S105"/>
  <conditionalFormatting sqref="S6:S105">
    <cfRule type="expression" priority="1" dxfId="0">
      <formula>LEFT($S6,5)="CHECK"</formula>
    </cfRule>
    <cfRule type="expression" priority="2" dxfId="1">
      <formula>$S6="OK"</formula>
    </cfRule>
  </conditionalFormatting>
  <conditionalFormatting sqref="R6:R105">
    <cfRule type="expression" priority="3" dxfId="0">
      <formula>AND($B6&lt;&gt;"",$R6&lt;0)</formula>
    </cfRule>
  </conditionalFormatting>
  <dataValidations count="7">
    <dataValidation sqref="A6:A105" showDropDown="0" showInputMessage="0" showErrorMessage="0" allowBlank="0" errorTitle="Check date" error="Enter a date within the editable range on Assumptions." promptTitle="Entry date" prompt="Use MM/DD/YYYY." type="date" operator="between">
      <formula1>INDIRECT("Assumptions!$B$8")</formula1>
      <formula2>INDIRECT("Assumptions!$B$9")</formula2>
    </dataValidation>
    <dataValidation sqref="B6:B105" showDropDown="0" showInputMessage="0" showErrorMessage="0" allowBlank="0" errorTitle="Check cylinder" error="Choose a cylinder listed on the Cylinders sheet." type="list">
      <formula1>INDIRECT("Cylinders!$A$6:$A$105")</formula1>
    </dataValidation>
    <dataValidation sqref="D6:D105" showDropDown="0" showInputMessage="0" showErrorMessage="0" allowBlank="0" error="Choose an editable technician option from Assumptions." type="list">
      <formula1>INDIRECT("Assumptions!$E$4:$E$11")</formula1>
    </dataValidation>
    <dataValidation sqref="I6:K105" showDropDown="0" showInputMessage="0" showErrorMessage="0" allowBlank="0" errorTitle="Check quantity" error="Enter a nonnegative quantity within the editable entry limit." promptTitle="Quantity in pounds" prompt="Enter pounds as a decimal, including zero when applicable." type="decimal" operator="between">
      <formula1>0</formula1>
      <formula2>INDIRECT("Assumptions!$B$10")</formula2>
    </dataValidation>
    <dataValidation sqref="O6:O105" showDropDown="0" showInputMessage="0" showErrorMessage="0" allowBlank="0" type="list">
      <formula1>INDIRECT("Assumptions!$F$4:$F$6")</formula1>
    </dataValidation>
    <dataValidation sqref="P6:P105" showDropDown="0" showInputMessage="0" showErrorMessage="0" allowBlank="0" type="list">
      <formula1>INDIRECT("Assumptions!$G$4:$G$7")</formula1>
    </dataValidation>
    <dataValidation sqref="Q6:Q105" showDropDown="0" showInputMessage="0" showErrorMessage="0" allowBlank="0" type="list">
      <formula1>INDIRECT("Assumptions!$H$4:$H$6")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31" customWidth="1" min="3" max="3"/>
    <col width="14" customWidth="1" min="4" max="4"/>
    <col width="13" customWidth="1" min="5" max="5"/>
    <col width="17" customWidth="1" min="6" max="6"/>
    <col width="9" customWidth="1" min="7" max="7"/>
    <col width="14" customWidth="1" min="8" max="8"/>
    <col width="13" customWidth="1" min="9" max="9"/>
    <col width="27" customWidth="1" min="10" max="10"/>
  </cols>
  <sheetData>
    <row r="1" ht="28" customHeight="1">
      <c r="A1" s="1" t="inlineStr">
        <is>
          <t>Cylinder Records and Current Balances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3" t="inlineStr">
        <is>
          <t>Opening quantity and unit cost are editable starting values for this workbook.</t>
        </is>
      </c>
    </row>
    <row r="3">
      <c r="A3" s="3" t="inlineStr">
        <is>
          <t>Current quantity is calculated from non-voided Usage Log entries.</t>
        </is>
      </c>
    </row>
    <row r="4"/>
    <row r="5" ht="32" customHeight="1">
      <c r="A5" s="17" t="inlineStr">
        <is>
          <t>Cylinder ID</t>
        </is>
      </c>
      <c r="B5" s="17" t="inlineStr">
        <is>
          <t>Refrigerant</t>
        </is>
      </c>
      <c r="C5" s="17" t="inlineStr">
        <is>
          <t>Description</t>
        </is>
      </c>
      <c r="D5" s="17" t="inlineStr">
        <is>
          <t>Opening Qty</t>
        </is>
      </c>
      <c r="E5" s="17" t="inlineStr">
        <is>
          <t>Unit Cost</t>
        </is>
      </c>
      <c r="F5" s="17" t="inlineStr">
        <is>
          <t>Cylinder Status</t>
        </is>
      </c>
      <c r="G5" s="17" t="inlineStr">
        <is>
          <t>Unit</t>
        </is>
      </c>
      <c r="H5" s="17" t="inlineStr">
        <is>
          <t>Current Qty</t>
        </is>
      </c>
      <c r="I5" s="17" t="inlineStr">
        <is>
          <t>Remaining</t>
        </is>
      </c>
      <c r="J5" s="17" t="inlineStr">
        <is>
          <t>Check</t>
        </is>
      </c>
    </row>
    <row r="6" ht="30" customHeight="1">
      <c r="A6" s="19" t="inlineStr">
        <is>
          <t>DEMO-CYL-001</t>
        </is>
      </c>
      <c r="B6" s="19" t="inlineStr">
        <is>
          <t>R-410A</t>
        </is>
      </c>
      <c r="C6" s="21" t="inlineStr">
        <is>
          <t>Demo 30 lb supply cylinder</t>
        </is>
      </c>
      <c r="D6" s="22" t="n">
        <v>25</v>
      </c>
      <c r="E6" s="29" t="n">
        <v>14.75</v>
      </c>
      <c r="F6" s="19" t="inlineStr">
        <is>
          <t>In Service</t>
        </is>
      </c>
      <c r="G6" s="23">
        <f>IF(A6="","","lb")</f>
        <v/>
      </c>
      <c r="H6" s="24">
        <f>IF(A6="","",IFERROR(D6-SUMIFS('Usage Log'!$I$6:$I$105,'Usage Log'!$B$6:$B$105,A6,'Usage Log'!$Q$6:$Q$105,"&lt;&gt;Voided")+SUMIFS('Usage Log'!$K$6:$K$105,'Usage Log'!$B$6:$B$105,A6,'Usage Log'!$Q$6:$Q$105,"&lt;&gt;Voided"),""))</f>
        <v/>
      </c>
      <c r="I6" s="30">
        <f>IF(A6="","",IFERROR(H6/D6,""))</f>
        <v/>
      </c>
      <c r="J6" s="23">
        <f>IF(A6="","",IF(F6="Retired","RETIRED",IF(COUNT(D6)&lt;1,"CHECK OPENING QTY",IF(D6&lt;=0,"CHECK OPENING QTY",IF(H6&lt;0,"CHECK NEGATIVE BALANCE",IF(I6&lt;Assumptions!$B$6,"CHECK LOW BALANCE","OK"))))))</f>
        <v/>
      </c>
    </row>
    <row r="7" ht="30" customHeight="1">
      <c r="A7" s="19" t="inlineStr">
        <is>
          <t>DEMO-CYL-002</t>
        </is>
      </c>
      <c r="B7" s="19" t="inlineStr">
        <is>
          <t>R-32</t>
        </is>
      </c>
      <c r="C7" s="21" t="inlineStr">
        <is>
          <t>Demo 20 lb supply cylinder</t>
        </is>
      </c>
      <c r="D7" s="22" t="n">
        <v>10</v>
      </c>
      <c r="E7" s="29" t="n">
        <v>12.4</v>
      </c>
      <c r="F7" s="19" t="inlineStr">
        <is>
          <t>In Service</t>
        </is>
      </c>
      <c r="G7" s="26">
        <f>IF(A7="","","lb")</f>
        <v/>
      </c>
      <c r="H7" s="28">
        <f>IF(A7="","",IFERROR(D7-SUMIFS('Usage Log'!$I$6:$I$105,'Usage Log'!$B$6:$B$105,A7,'Usage Log'!$Q$6:$Q$105,"&lt;&gt;Voided")+SUMIFS('Usage Log'!$K$6:$K$105,'Usage Log'!$B$6:$B$105,A7,'Usage Log'!$Q$6:$Q$105,"&lt;&gt;Voided"),""))</f>
        <v/>
      </c>
      <c r="I7" s="31">
        <f>IF(A7="","",IFERROR(H7/D7,""))</f>
        <v/>
      </c>
      <c r="J7" s="26">
        <f>IF(A7="","",IF(F7="Retired","RETIRED",IF(COUNT(D7)&lt;1,"CHECK OPENING QTY",IF(D7&lt;=0,"CHECK OPENING QTY",IF(H7&lt;0,"CHECK NEGATIVE BALANCE",IF(I7&lt;Assumptions!$B$6,"CHECK LOW BALANCE","OK"))))))</f>
        <v/>
      </c>
    </row>
    <row r="8" ht="30" customHeight="1">
      <c r="A8" s="19" t="inlineStr">
        <is>
          <t>DEMO-CYL-003</t>
        </is>
      </c>
      <c r="B8" s="19" t="inlineStr">
        <is>
          <t>R-454B</t>
        </is>
      </c>
      <c r="C8" s="21" t="inlineStr">
        <is>
          <t>Demo 20 lb supply cylinder</t>
        </is>
      </c>
      <c r="D8" s="22" t="n">
        <v>8</v>
      </c>
      <c r="E8" s="29" t="n">
        <v>16.25</v>
      </c>
      <c r="F8" s="19" t="inlineStr">
        <is>
          <t>In Service</t>
        </is>
      </c>
      <c r="G8" s="23">
        <f>IF(A8="","","lb")</f>
        <v/>
      </c>
      <c r="H8" s="24">
        <f>IF(A8="","",IFERROR(D8-SUMIFS('Usage Log'!$I$6:$I$105,'Usage Log'!$B$6:$B$105,A8,'Usage Log'!$Q$6:$Q$105,"&lt;&gt;Voided")+SUMIFS('Usage Log'!$K$6:$K$105,'Usage Log'!$B$6:$B$105,A8,'Usage Log'!$Q$6:$Q$105,"&lt;&gt;Voided"),""))</f>
        <v/>
      </c>
      <c r="I8" s="30">
        <f>IF(A8="","",IFERROR(H8/D8,""))</f>
        <v/>
      </c>
      <c r="J8" s="23">
        <f>IF(A8="","",IF(F8="Retired","RETIRED",IF(COUNT(D8)&lt;1,"CHECK OPENING QTY",IF(D8&lt;=0,"CHECK OPENING QTY",IF(H8&lt;0,"CHECK NEGATIVE BALANCE",IF(I8&lt;Assumptions!$B$6,"CHECK LOW BALANCE","OK"))))))</f>
        <v/>
      </c>
    </row>
    <row r="9" ht="30" customHeight="1">
      <c r="A9" s="19" t="inlineStr">
        <is>
          <t>DEMO-CYL-004</t>
        </is>
      </c>
      <c r="B9" s="19" t="inlineStr">
        <is>
          <t>R-22</t>
        </is>
      </c>
      <c r="C9" s="21" t="inlineStr">
        <is>
          <t>Demo 30 lb supply cylinder</t>
        </is>
      </c>
      <c r="D9" s="22" t="n">
        <v>12</v>
      </c>
      <c r="E9" s="29" t="n">
        <v>24.5</v>
      </c>
      <c r="F9" s="19" t="inlineStr">
        <is>
          <t>Hold</t>
        </is>
      </c>
      <c r="G9" s="26">
        <f>IF(A9="","","lb")</f>
        <v/>
      </c>
      <c r="H9" s="28">
        <f>IF(A9="","",IFERROR(D9-SUMIFS('Usage Log'!$I$6:$I$105,'Usage Log'!$B$6:$B$105,A9,'Usage Log'!$Q$6:$Q$105,"&lt;&gt;Voided")+SUMIFS('Usage Log'!$K$6:$K$105,'Usage Log'!$B$6:$B$105,A9,'Usage Log'!$Q$6:$Q$105,"&lt;&gt;Voided"),""))</f>
        <v/>
      </c>
      <c r="I9" s="31">
        <f>IF(A9="","",IFERROR(H9/D9,""))</f>
        <v/>
      </c>
      <c r="J9" s="26">
        <f>IF(A9="","",IF(F9="Retired","RETIRED",IF(COUNT(D9)&lt;1,"CHECK OPENING QTY",IF(D9&lt;=0,"CHECK OPENING QTY",IF(H9&lt;0,"CHECK NEGATIVE BALANCE",IF(I9&lt;Assumptions!$B$6,"CHECK LOW BALANCE","OK"))))))</f>
        <v/>
      </c>
    </row>
    <row r="10" ht="30" customHeight="1">
      <c r="A10" s="19" t="inlineStr">
        <is>
          <t>DEMO-CYL-005</t>
        </is>
      </c>
      <c r="B10" s="19" t="inlineStr">
        <is>
          <t>R-134a</t>
        </is>
      </c>
      <c r="C10" s="21" t="inlineStr">
        <is>
          <t>Demo 30 lb supply cylinder</t>
        </is>
      </c>
      <c r="D10" s="22" t="n">
        <v>30</v>
      </c>
      <c r="E10" s="29" t="n">
        <v>10.8</v>
      </c>
      <c r="F10" s="19" t="inlineStr">
        <is>
          <t>In Service</t>
        </is>
      </c>
      <c r="G10" s="23">
        <f>IF(A10="","","lb")</f>
        <v/>
      </c>
      <c r="H10" s="24">
        <f>IF(A10="","",IFERROR(D10-SUMIFS('Usage Log'!$I$6:$I$105,'Usage Log'!$B$6:$B$105,A10,'Usage Log'!$Q$6:$Q$105,"&lt;&gt;Voided")+SUMIFS('Usage Log'!$K$6:$K$105,'Usage Log'!$B$6:$B$105,A10,'Usage Log'!$Q$6:$Q$105,"&lt;&gt;Voided"),""))</f>
        <v/>
      </c>
      <c r="I10" s="30">
        <f>IF(A10="","",IFERROR(H10/D10,""))</f>
        <v/>
      </c>
      <c r="J10" s="23">
        <f>IF(A10="","",IF(F10="Retired","RETIRED",IF(COUNT(D10)&lt;1,"CHECK OPENING QTY",IF(D10&lt;=0,"CHECK OPENING QTY",IF(H10&lt;0,"CHECK NEGATIVE BALANCE",IF(I10&lt;Assumptions!$B$6,"CHECK LOW BALANCE","OK"))))))</f>
        <v/>
      </c>
    </row>
    <row r="11" ht="30" customHeight="1">
      <c r="A11" s="19" t="inlineStr">
        <is>
          <t>DEMO-CYL-006</t>
        </is>
      </c>
      <c r="B11" s="19" t="inlineStr">
        <is>
          <t>R-407C</t>
        </is>
      </c>
      <c r="C11" s="21" t="inlineStr">
        <is>
          <t>Demo 25 lb supply cylinder</t>
        </is>
      </c>
      <c r="D11" s="22" t="n">
        <v>20</v>
      </c>
      <c r="E11" s="29" t="n">
        <v>15.6</v>
      </c>
      <c r="F11" s="19" t="inlineStr">
        <is>
          <t>In Service</t>
        </is>
      </c>
      <c r="G11" s="26">
        <f>IF(A11="","","lb")</f>
        <v/>
      </c>
      <c r="H11" s="28">
        <f>IF(A11="","",IFERROR(D11-SUMIFS('Usage Log'!$I$6:$I$105,'Usage Log'!$B$6:$B$105,A11,'Usage Log'!$Q$6:$Q$105,"&lt;&gt;Voided")+SUMIFS('Usage Log'!$K$6:$K$105,'Usage Log'!$B$6:$B$105,A11,'Usage Log'!$Q$6:$Q$105,"&lt;&gt;Voided"),""))</f>
        <v/>
      </c>
      <c r="I11" s="31">
        <f>IF(A11="","",IFERROR(H11/D11,""))</f>
        <v/>
      </c>
      <c r="J11" s="26">
        <f>IF(A11="","",IF(F11="Retired","RETIRED",IF(COUNT(D11)&lt;1,"CHECK OPENING QTY",IF(D11&lt;=0,"CHECK OPENING QTY",IF(H11&lt;0,"CHECK NEGATIVE BALANCE",IF(I11&lt;Assumptions!$B$6,"CHECK LOW BALANCE","OK"))))))</f>
        <v/>
      </c>
    </row>
    <row r="12" ht="30" customHeight="1">
      <c r="A12" s="19" t="inlineStr">
        <is>
          <t>DEMO-CYL-007</t>
        </is>
      </c>
      <c r="B12" s="19" t="inlineStr">
        <is>
          <t>R-404A</t>
        </is>
      </c>
      <c r="C12" s="21" t="inlineStr">
        <is>
          <t>Demo 20 lb supply cylinder</t>
        </is>
      </c>
      <c r="D12" s="22" t="n">
        <v>15</v>
      </c>
      <c r="E12" s="29" t="n">
        <v>18.9</v>
      </c>
      <c r="F12" s="19" t="inlineStr">
        <is>
          <t>In Service</t>
        </is>
      </c>
      <c r="G12" s="23">
        <f>IF(A12="","","lb")</f>
        <v/>
      </c>
      <c r="H12" s="24">
        <f>IF(A12="","",IFERROR(D12-SUMIFS('Usage Log'!$I$6:$I$105,'Usage Log'!$B$6:$B$105,A12,'Usage Log'!$Q$6:$Q$105,"&lt;&gt;Voided")+SUMIFS('Usage Log'!$K$6:$K$105,'Usage Log'!$B$6:$B$105,A12,'Usage Log'!$Q$6:$Q$105,"&lt;&gt;Voided"),""))</f>
        <v/>
      </c>
      <c r="I12" s="30">
        <f>IF(A12="","",IFERROR(H12/D12,""))</f>
        <v/>
      </c>
      <c r="J12" s="23">
        <f>IF(A12="","",IF(F12="Retired","RETIRED",IF(COUNT(D12)&lt;1,"CHECK OPENING QTY",IF(D12&lt;=0,"CHECK OPENING QTY",IF(H12&lt;0,"CHECK NEGATIVE BALANCE",IF(I12&lt;Assumptions!$B$6,"CHECK LOW BALANCE","OK"))))))</f>
        <v/>
      </c>
    </row>
    <row r="13" ht="30" customHeight="1">
      <c r="A13" s="19" t="inlineStr">
        <is>
          <t>DEMO-CYL-008</t>
        </is>
      </c>
      <c r="B13" s="19" t="inlineStr">
        <is>
          <t>R-1234yf</t>
        </is>
      </c>
      <c r="C13" s="21" t="inlineStr">
        <is>
          <t>Demo 10 lb supply cylinder</t>
        </is>
      </c>
      <c r="D13" s="22" t="n">
        <v>10</v>
      </c>
      <c r="E13" s="29" t="n">
        <v>22.35</v>
      </c>
      <c r="F13" s="19" t="inlineStr">
        <is>
          <t>In Service</t>
        </is>
      </c>
      <c r="G13" s="26">
        <f>IF(A13="","","lb")</f>
        <v/>
      </c>
      <c r="H13" s="28">
        <f>IF(A13="","",IFERROR(D13-SUMIFS('Usage Log'!$I$6:$I$105,'Usage Log'!$B$6:$B$105,A13,'Usage Log'!$Q$6:$Q$105,"&lt;&gt;Voided")+SUMIFS('Usage Log'!$K$6:$K$105,'Usage Log'!$B$6:$B$105,A13,'Usage Log'!$Q$6:$Q$105,"&lt;&gt;Voided"),""))</f>
        <v/>
      </c>
      <c r="I13" s="31">
        <f>IF(A13="","",IFERROR(H13/D13,""))</f>
        <v/>
      </c>
      <c r="J13" s="26">
        <f>IF(A13="","",IF(F13="Retired","RETIRED",IF(COUNT(D13)&lt;1,"CHECK OPENING QTY",IF(D13&lt;=0,"CHECK OPENING QTY",IF(H13&lt;0,"CHECK NEGATIVE BALANCE",IF(I13&lt;Assumptions!$B$6,"CHECK LOW BALANCE","OK"))))))</f>
        <v/>
      </c>
    </row>
    <row r="14" ht="30" customHeight="1">
      <c r="A14" s="19" t="n"/>
      <c r="B14" s="19" t="n"/>
      <c r="C14" s="21" t="n"/>
      <c r="D14" s="22" t="n"/>
      <c r="E14" s="29" t="n"/>
      <c r="F14" s="19" t="n"/>
      <c r="G14" s="23">
        <f>IF(A14="","","lb")</f>
        <v/>
      </c>
      <c r="H14" s="24">
        <f>IF(A14="","",IFERROR(D14-SUMIFS('Usage Log'!$I$6:$I$105,'Usage Log'!$B$6:$B$105,A14,'Usage Log'!$Q$6:$Q$105,"&lt;&gt;Voided")+SUMIFS('Usage Log'!$K$6:$K$105,'Usage Log'!$B$6:$B$105,A14,'Usage Log'!$Q$6:$Q$105,"&lt;&gt;Voided"),""))</f>
        <v/>
      </c>
      <c r="I14" s="30">
        <f>IF(A14="","",IFERROR(H14/D14,""))</f>
        <v/>
      </c>
      <c r="J14" s="23">
        <f>IF(A14="","",IF(F14="Retired","RETIRED",IF(COUNT(D14)&lt;1,"CHECK OPENING QTY",IF(D14&lt;=0,"CHECK OPENING QTY",IF(H14&lt;0,"CHECK NEGATIVE BALANCE",IF(I14&lt;Assumptions!$B$6,"CHECK LOW BALANCE","OK"))))))</f>
        <v/>
      </c>
    </row>
    <row r="15" ht="30" customHeight="1">
      <c r="A15" s="19" t="n"/>
      <c r="B15" s="19" t="n"/>
      <c r="C15" s="21" t="n"/>
      <c r="D15" s="22" t="n"/>
      <c r="E15" s="29" t="n"/>
      <c r="F15" s="19" t="n"/>
      <c r="G15" s="26">
        <f>IF(A15="","","lb")</f>
        <v/>
      </c>
      <c r="H15" s="28">
        <f>IF(A15="","",IFERROR(D15-SUMIFS('Usage Log'!$I$6:$I$105,'Usage Log'!$B$6:$B$105,A15,'Usage Log'!$Q$6:$Q$105,"&lt;&gt;Voided")+SUMIFS('Usage Log'!$K$6:$K$105,'Usage Log'!$B$6:$B$105,A15,'Usage Log'!$Q$6:$Q$105,"&lt;&gt;Voided"),""))</f>
        <v/>
      </c>
      <c r="I15" s="31">
        <f>IF(A15="","",IFERROR(H15/D15,""))</f>
        <v/>
      </c>
      <c r="J15" s="26">
        <f>IF(A15="","",IF(F15="Retired","RETIRED",IF(COUNT(D15)&lt;1,"CHECK OPENING QTY",IF(D15&lt;=0,"CHECK OPENING QTY",IF(H15&lt;0,"CHECK NEGATIVE BALANCE",IF(I15&lt;Assumptions!$B$6,"CHECK LOW BALANCE","OK"))))))</f>
        <v/>
      </c>
    </row>
    <row r="16" ht="30" customHeight="1">
      <c r="A16" s="19" t="n"/>
      <c r="B16" s="19" t="n"/>
      <c r="C16" s="21" t="n"/>
      <c r="D16" s="22" t="n"/>
      <c r="E16" s="29" t="n"/>
      <c r="F16" s="19" t="n"/>
      <c r="G16" s="23">
        <f>IF(A16="","","lb")</f>
        <v/>
      </c>
      <c r="H16" s="24">
        <f>IF(A16="","",IFERROR(D16-SUMIFS('Usage Log'!$I$6:$I$105,'Usage Log'!$B$6:$B$105,A16,'Usage Log'!$Q$6:$Q$105,"&lt;&gt;Voided")+SUMIFS('Usage Log'!$K$6:$K$105,'Usage Log'!$B$6:$B$105,A16,'Usage Log'!$Q$6:$Q$105,"&lt;&gt;Voided"),""))</f>
        <v/>
      </c>
      <c r="I16" s="30">
        <f>IF(A16="","",IFERROR(H16/D16,""))</f>
        <v/>
      </c>
      <c r="J16" s="23">
        <f>IF(A16="","",IF(F16="Retired","RETIRED",IF(COUNT(D16)&lt;1,"CHECK OPENING QTY",IF(D16&lt;=0,"CHECK OPENING QTY",IF(H16&lt;0,"CHECK NEGATIVE BALANCE",IF(I16&lt;Assumptions!$B$6,"CHECK LOW BALANCE","OK"))))))</f>
        <v/>
      </c>
    </row>
    <row r="17" ht="30" customHeight="1">
      <c r="A17" s="19" t="n"/>
      <c r="B17" s="19" t="n"/>
      <c r="C17" s="21" t="n"/>
      <c r="D17" s="22" t="n"/>
      <c r="E17" s="29" t="n"/>
      <c r="F17" s="19" t="n"/>
      <c r="G17" s="26">
        <f>IF(A17="","","lb")</f>
        <v/>
      </c>
      <c r="H17" s="28">
        <f>IF(A17="","",IFERROR(D17-SUMIFS('Usage Log'!$I$6:$I$105,'Usage Log'!$B$6:$B$105,A17,'Usage Log'!$Q$6:$Q$105,"&lt;&gt;Voided")+SUMIFS('Usage Log'!$K$6:$K$105,'Usage Log'!$B$6:$B$105,A17,'Usage Log'!$Q$6:$Q$105,"&lt;&gt;Voided"),""))</f>
        <v/>
      </c>
      <c r="I17" s="31">
        <f>IF(A17="","",IFERROR(H17/D17,""))</f>
        <v/>
      </c>
      <c r="J17" s="26">
        <f>IF(A17="","",IF(F17="Retired","RETIRED",IF(COUNT(D17)&lt;1,"CHECK OPENING QTY",IF(D17&lt;=0,"CHECK OPENING QTY",IF(H17&lt;0,"CHECK NEGATIVE BALANCE",IF(I17&lt;Assumptions!$B$6,"CHECK LOW BALANCE","OK"))))))</f>
        <v/>
      </c>
    </row>
    <row r="18" ht="30" customHeight="1">
      <c r="A18" s="19" t="n"/>
      <c r="B18" s="19" t="n"/>
      <c r="C18" s="21" t="n"/>
      <c r="D18" s="22" t="n"/>
      <c r="E18" s="29" t="n"/>
      <c r="F18" s="19" t="n"/>
      <c r="G18" s="23">
        <f>IF(A18="","","lb")</f>
        <v/>
      </c>
      <c r="H18" s="24">
        <f>IF(A18="","",IFERROR(D18-SUMIFS('Usage Log'!$I$6:$I$105,'Usage Log'!$B$6:$B$105,A18,'Usage Log'!$Q$6:$Q$105,"&lt;&gt;Voided")+SUMIFS('Usage Log'!$K$6:$K$105,'Usage Log'!$B$6:$B$105,A18,'Usage Log'!$Q$6:$Q$105,"&lt;&gt;Voided"),""))</f>
        <v/>
      </c>
      <c r="I18" s="30">
        <f>IF(A18="","",IFERROR(H18/D18,""))</f>
        <v/>
      </c>
      <c r="J18" s="23">
        <f>IF(A18="","",IF(F18="Retired","RETIRED",IF(COUNT(D18)&lt;1,"CHECK OPENING QTY",IF(D18&lt;=0,"CHECK OPENING QTY",IF(H18&lt;0,"CHECK NEGATIVE BALANCE",IF(I18&lt;Assumptions!$B$6,"CHECK LOW BALANCE","OK"))))))</f>
        <v/>
      </c>
    </row>
    <row r="19" ht="30" customHeight="1">
      <c r="A19" s="19" t="n"/>
      <c r="B19" s="19" t="n"/>
      <c r="C19" s="21" t="n"/>
      <c r="D19" s="22" t="n"/>
      <c r="E19" s="29" t="n"/>
      <c r="F19" s="19" t="n"/>
      <c r="G19" s="26">
        <f>IF(A19="","","lb")</f>
        <v/>
      </c>
      <c r="H19" s="28">
        <f>IF(A19="","",IFERROR(D19-SUMIFS('Usage Log'!$I$6:$I$105,'Usage Log'!$B$6:$B$105,A19,'Usage Log'!$Q$6:$Q$105,"&lt;&gt;Voided")+SUMIFS('Usage Log'!$K$6:$K$105,'Usage Log'!$B$6:$B$105,A19,'Usage Log'!$Q$6:$Q$105,"&lt;&gt;Voided"),""))</f>
        <v/>
      </c>
      <c r="I19" s="31">
        <f>IF(A19="","",IFERROR(H19/D19,""))</f>
        <v/>
      </c>
      <c r="J19" s="26">
        <f>IF(A19="","",IF(F19="Retired","RETIRED",IF(COUNT(D19)&lt;1,"CHECK OPENING QTY",IF(D19&lt;=0,"CHECK OPENING QTY",IF(H19&lt;0,"CHECK NEGATIVE BALANCE",IF(I19&lt;Assumptions!$B$6,"CHECK LOW BALANCE","OK"))))))</f>
        <v/>
      </c>
    </row>
    <row r="20" ht="30" customHeight="1">
      <c r="A20" s="19" t="n"/>
      <c r="B20" s="19" t="n"/>
      <c r="C20" s="21" t="n"/>
      <c r="D20" s="22" t="n"/>
      <c r="E20" s="29" t="n"/>
      <c r="F20" s="19" t="n"/>
      <c r="G20" s="23">
        <f>IF(A20="","","lb")</f>
        <v/>
      </c>
      <c r="H20" s="24">
        <f>IF(A20="","",IFERROR(D20-SUMIFS('Usage Log'!$I$6:$I$105,'Usage Log'!$B$6:$B$105,A20,'Usage Log'!$Q$6:$Q$105,"&lt;&gt;Voided")+SUMIFS('Usage Log'!$K$6:$K$105,'Usage Log'!$B$6:$B$105,A20,'Usage Log'!$Q$6:$Q$105,"&lt;&gt;Voided"),""))</f>
        <v/>
      </c>
      <c r="I20" s="30">
        <f>IF(A20="","",IFERROR(H20/D20,""))</f>
        <v/>
      </c>
      <c r="J20" s="23">
        <f>IF(A20="","",IF(F20="Retired","RETIRED",IF(COUNT(D20)&lt;1,"CHECK OPENING QTY",IF(D20&lt;=0,"CHECK OPENING QTY",IF(H20&lt;0,"CHECK NEGATIVE BALANCE",IF(I20&lt;Assumptions!$B$6,"CHECK LOW BALANCE","OK"))))))</f>
        <v/>
      </c>
    </row>
    <row r="21" ht="30" customHeight="1">
      <c r="A21" s="19" t="n"/>
      <c r="B21" s="19" t="n"/>
      <c r="C21" s="21" t="n"/>
      <c r="D21" s="22" t="n"/>
      <c r="E21" s="29" t="n"/>
      <c r="F21" s="19" t="n"/>
      <c r="G21" s="26">
        <f>IF(A21="","","lb")</f>
        <v/>
      </c>
      <c r="H21" s="28">
        <f>IF(A21="","",IFERROR(D21-SUMIFS('Usage Log'!$I$6:$I$105,'Usage Log'!$B$6:$B$105,A21,'Usage Log'!$Q$6:$Q$105,"&lt;&gt;Voided")+SUMIFS('Usage Log'!$K$6:$K$105,'Usage Log'!$B$6:$B$105,A21,'Usage Log'!$Q$6:$Q$105,"&lt;&gt;Voided"),""))</f>
        <v/>
      </c>
      <c r="I21" s="31">
        <f>IF(A21="","",IFERROR(H21/D21,""))</f>
        <v/>
      </c>
      <c r="J21" s="26">
        <f>IF(A21="","",IF(F21="Retired","RETIRED",IF(COUNT(D21)&lt;1,"CHECK OPENING QTY",IF(D21&lt;=0,"CHECK OPENING QTY",IF(H21&lt;0,"CHECK NEGATIVE BALANCE",IF(I21&lt;Assumptions!$B$6,"CHECK LOW BALANCE","OK"))))))</f>
        <v/>
      </c>
    </row>
    <row r="22" ht="30" customHeight="1">
      <c r="A22" s="19" t="n"/>
      <c r="B22" s="19" t="n"/>
      <c r="C22" s="21" t="n"/>
      <c r="D22" s="22" t="n"/>
      <c r="E22" s="29" t="n"/>
      <c r="F22" s="19" t="n"/>
      <c r="G22" s="23">
        <f>IF(A22="","","lb")</f>
        <v/>
      </c>
      <c r="H22" s="24">
        <f>IF(A22="","",IFERROR(D22-SUMIFS('Usage Log'!$I$6:$I$105,'Usage Log'!$B$6:$B$105,A22,'Usage Log'!$Q$6:$Q$105,"&lt;&gt;Voided")+SUMIFS('Usage Log'!$K$6:$K$105,'Usage Log'!$B$6:$B$105,A22,'Usage Log'!$Q$6:$Q$105,"&lt;&gt;Voided"),""))</f>
        <v/>
      </c>
      <c r="I22" s="30">
        <f>IF(A22="","",IFERROR(H22/D22,""))</f>
        <v/>
      </c>
      <c r="J22" s="23">
        <f>IF(A22="","",IF(F22="Retired","RETIRED",IF(COUNT(D22)&lt;1,"CHECK OPENING QTY",IF(D22&lt;=0,"CHECK OPENING QTY",IF(H22&lt;0,"CHECK NEGATIVE BALANCE",IF(I22&lt;Assumptions!$B$6,"CHECK LOW BALANCE","OK"))))))</f>
        <v/>
      </c>
    </row>
    <row r="23" ht="30" customHeight="1">
      <c r="A23" s="19" t="n"/>
      <c r="B23" s="19" t="n"/>
      <c r="C23" s="21" t="n"/>
      <c r="D23" s="22" t="n"/>
      <c r="E23" s="29" t="n"/>
      <c r="F23" s="19" t="n"/>
      <c r="G23" s="26">
        <f>IF(A23="","","lb")</f>
        <v/>
      </c>
      <c r="H23" s="28">
        <f>IF(A23="","",IFERROR(D23-SUMIFS('Usage Log'!$I$6:$I$105,'Usage Log'!$B$6:$B$105,A23,'Usage Log'!$Q$6:$Q$105,"&lt;&gt;Voided")+SUMIFS('Usage Log'!$K$6:$K$105,'Usage Log'!$B$6:$B$105,A23,'Usage Log'!$Q$6:$Q$105,"&lt;&gt;Voided"),""))</f>
        <v/>
      </c>
      <c r="I23" s="31">
        <f>IF(A23="","",IFERROR(H23/D23,""))</f>
        <v/>
      </c>
      <c r="J23" s="26">
        <f>IF(A23="","",IF(F23="Retired","RETIRED",IF(COUNT(D23)&lt;1,"CHECK OPENING QTY",IF(D23&lt;=0,"CHECK OPENING QTY",IF(H23&lt;0,"CHECK NEGATIVE BALANCE",IF(I23&lt;Assumptions!$B$6,"CHECK LOW BALANCE","OK"))))))</f>
        <v/>
      </c>
    </row>
    <row r="24" ht="30" customHeight="1">
      <c r="A24" s="19" t="n"/>
      <c r="B24" s="19" t="n"/>
      <c r="C24" s="21" t="n"/>
      <c r="D24" s="22" t="n"/>
      <c r="E24" s="29" t="n"/>
      <c r="F24" s="19" t="n"/>
      <c r="G24" s="23">
        <f>IF(A24="","","lb")</f>
        <v/>
      </c>
      <c r="H24" s="24">
        <f>IF(A24="","",IFERROR(D24-SUMIFS('Usage Log'!$I$6:$I$105,'Usage Log'!$B$6:$B$105,A24,'Usage Log'!$Q$6:$Q$105,"&lt;&gt;Voided")+SUMIFS('Usage Log'!$K$6:$K$105,'Usage Log'!$B$6:$B$105,A24,'Usage Log'!$Q$6:$Q$105,"&lt;&gt;Voided"),""))</f>
        <v/>
      </c>
      <c r="I24" s="30">
        <f>IF(A24="","",IFERROR(H24/D24,""))</f>
        <v/>
      </c>
      <c r="J24" s="23">
        <f>IF(A24="","",IF(F24="Retired","RETIRED",IF(COUNT(D24)&lt;1,"CHECK OPENING QTY",IF(D24&lt;=0,"CHECK OPENING QTY",IF(H24&lt;0,"CHECK NEGATIVE BALANCE",IF(I24&lt;Assumptions!$B$6,"CHECK LOW BALANCE","OK"))))))</f>
        <v/>
      </c>
    </row>
    <row r="25" ht="30" customHeight="1">
      <c r="A25" s="19" t="n"/>
      <c r="B25" s="19" t="n"/>
      <c r="C25" s="21" t="n"/>
      <c r="D25" s="22" t="n"/>
      <c r="E25" s="29" t="n"/>
      <c r="F25" s="19" t="n"/>
      <c r="G25" s="26">
        <f>IF(A25="","","lb")</f>
        <v/>
      </c>
      <c r="H25" s="28">
        <f>IF(A25="","",IFERROR(D25-SUMIFS('Usage Log'!$I$6:$I$105,'Usage Log'!$B$6:$B$105,A25,'Usage Log'!$Q$6:$Q$105,"&lt;&gt;Voided")+SUMIFS('Usage Log'!$K$6:$K$105,'Usage Log'!$B$6:$B$105,A25,'Usage Log'!$Q$6:$Q$105,"&lt;&gt;Voided"),""))</f>
        <v/>
      </c>
      <c r="I25" s="31">
        <f>IF(A25="","",IFERROR(H25/D25,""))</f>
        <v/>
      </c>
      <c r="J25" s="26">
        <f>IF(A25="","",IF(F25="Retired","RETIRED",IF(COUNT(D25)&lt;1,"CHECK OPENING QTY",IF(D25&lt;=0,"CHECK OPENING QTY",IF(H25&lt;0,"CHECK NEGATIVE BALANCE",IF(I25&lt;Assumptions!$B$6,"CHECK LOW BALANCE","OK"))))))</f>
        <v/>
      </c>
    </row>
    <row r="26" ht="30" customHeight="1">
      <c r="A26" s="19" t="n"/>
      <c r="B26" s="19" t="n"/>
      <c r="C26" s="21" t="n"/>
      <c r="D26" s="22" t="n"/>
      <c r="E26" s="29" t="n"/>
      <c r="F26" s="19" t="n"/>
      <c r="G26" s="23">
        <f>IF(A26="","","lb")</f>
        <v/>
      </c>
      <c r="H26" s="24">
        <f>IF(A26="","",IFERROR(D26-SUMIFS('Usage Log'!$I$6:$I$105,'Usage Log'!$B$6:$B$105,A26,'Usage Log'!$Q$6:$Q$105,"&lt;&gt;Voided")+SUMIFS('Usage Log'!$K$6:$K$105,'Usage Log'!$B$6:$B$105,A26,'Usage Log'!$Q$6:$Q$105,"&lt;&gt;Voided"),""))</f>
        <v/>
      </c>
      <c r="I26" s="30">
        <f>IF(A26="","",IFERROR(H26/D26,""))</f>
        <v/>
      </c>
      <c r="J26" s="23">
        <f>IF(A26="","",IF(F26="Retired","RETIRED",IF(COUNT(D26)&lt;1,"CHECK OPENING QTY",IF(D26&lt;=0,"CHECK OPENING QTY",IF(H26&lt;0,"CHECK NEGATIVE BALANCE",IF(I26&lt;Assumptions!$B$6,"CHECK LOW BALANCE","OK"))))))</f>
        <v/>
      </c>
    </row>
    <row r="27" ht="30" customHeight="1">
      <c r="A27" s="19" t="n"/>
      <c r="B27" s="19" t="n"/>
      <c r="C27" s="21" t="n"/>
      <c r="D27" s="22" t="n"/>
      <c r="E27" s="29" t="n"/>
      <c r="F27" s="19" t="n"/>
      <c r="G27" s="26">
        <f>IF(A27="","","lb")</f>
        <v/>
      </c>
      <c r="H27" s="28">
        <f>IF(A27="","",IFERROR(D27-SUMIFS('Usage Log'!$I$6:$I$105,'Usage Log'!$B$6:$B$105,A27,'Usage Log'!$Q$6:$Q$105,"&lt;&gt;Voided")+SUMIFS('Usage Log'!$K$6:$K$105,'Usage Log'!$B$6:$B$105,A27,'Usage Log'!$Q$6:$Q$105,"&lt;&gt;Voided"),""))</f>
        <v/>
      </c>
      <c r="I27" s="31">
        <f>IF(A27="","",IFERROR(H27/D27,""))</f>
        <v/>
      </c>
      <c r="J27" s="26">
        <f>IF(A27="","",IF(F27="Retired","RETIRED",IF(COUNT(D27)&lt;1,"CHECK OPENING QTY",IF(D27&lt;=0,"CHECK OPENING QTY",IF(H27&lt;0,"CHECK NEGATIVE BALANCE",IF(I27&lt;Assumptions!$B$6,"CHECK LOW BALANCE","OK"))))))</f>
        <v/>
      </c>
    </row>
    <row r="28" ht="30" customHeight="1">
      <c r="A28" s="19" t="n"/>
      <c r="B28" s="19" t="n"/>
      <c r="C28" s="21" t="n"/>
      <c r="D28" s="22" t="n"/>
      <c r="E28" s="29" t="n"/>
      <c r="F28" s="19" t="n"/>
      <c r="G28" s="23">
        <f>IF(A28="","","lb")</f>
        <v/>
      </c>
      <c r="H28" s="24">
        <f>IF(A28="","",IFERROR(D28-SUMIFS('Usage Log'!$I$6:$I$105,'Usage Log'!$B$6:$B$105,A28,'Usage Log'!$Q$6:$Q$105,"&lt;&gt;Voided")+SUMIFS('Usage Log'!$K$6:$K$105,'Usage Log'!$B$6:$B$105,A28,'Usage Log'!$Q$6:$Q$105,"&lt;&gt;Voided"),""))</f>
        <v/>
      </c>
      <c r="I28" s="30">
        <f>IF(A28="","",IFERROR(H28/D28,""))</f>
        <v/>
      </c>
      <c r="J28" s="23">
        <f>IF(A28="","",IF(F28="Retired","RETIRED",IF(COUNT(D28)&lt;1,"CHECK OPENING QTY",IF(D28&lt;=0,"CHECK OPENING QTY",IF(H28&lt;0,"CHECK NEGATIVE BALANCE",IF(I28&lt;Assumptions!$B$6,"CHECK LOW BALANCE","OK"))))))</f>
        <v/>
      </c>
    </row>
    <row r="29" ht="30" customHeight="1">
      <c r="A29" s="19" t="n"/>
      <c r="B29" s="19" t="n"/>
      <c r="C29" s="21" t="n"/>
      <c r="D29" s="22" t="n"/>
      <c r="E29" s="29" t="n"/>
      <c r="F29" s="19" t="n"/>
      <c r="G29" s="26">
        <f>IF(A29="","","lb")</f>
        <v/>
      </c>
      <c r="H29" s="28">
        <f>IF(A29="","",IFERROR(D29-SUMIFS('Usage Log'!$I$6:$I$105,'Usage Log'!$B$6:$B$105,A29,'Usage Log'!$Q$6:$Q$105,"&lt;&gt;Voided")+SUMIFS('Usage Log'!$K$6:$K$105,'Usage Log'!$B$6:$B$105,A29,'Usage Log'!$Q$6:$Q$105,"&lt;&gt;Voided"),""))</f>
        <v/>
      </c>
      <c r="I29" s="31">
        <f>IF(A29="","",IFERROR(H29/D29,""))</f>
        <v/>
      </c>
      <c r="J29" s="26">
        <f>IF(A29="","",IF(F29="Retired","RETIRED",IF(COUNT(D29)&lt;1,"CHECK OPENING QTY",IF(D29&lt;=0,"CHECK OPENING QTY",IF(H29&lt;0,"CHECK NEGATIVE BALANCE",IF(I29&lt;Assumptions!$B$6,"CHECK LOW BALANCE","OK"))))))</f>
        <v/>
      </c>
    </row>
    <row r="30" ht="30" customHeight="1">
      <c r="A30" s="19" t="n"/>
      <c r="B30" s="19" t="n"/>
      <c r="C30" s="21" t="n"/>
      <c r="D30" s="22" t="n"/>
      <c r="E30" s="29" t="n"/>
      <c r="F30" s="19" t="n"/>
      <c r="G30" s="23">
        <f>IF(A30="","","lb")</f>
        <v/>
      </c>
      <c r="H30" s="24">
        <f>IF(A30="","",IFERROR(D30-SUMIFS('Usage Log'!$I$6:$I$105,'Usage Log'!$B$6:$B$105,A30,'Usage Log'!$Q$6:$Q$105,"&lt;&gt;Voided")+SUMIFS('Usage Log'!$K$6:$K$105,'Usage Log'!$B$6:$B$105,A30,'Usage Log'!$Q$6:$Q$105,"&lt;&gt;Voided"),""))</f>
        <v/>
      </c>
      <c r="I30" s="30">
        <f>IF(A30="","",IFERROR(H30/D30,""))</f>
        <v/>
      </c>
      <c r="J30" s="23">
        <f>IF(A30="","",IF(F30="Retired","RETIRED",IF(COUNT(D30)&lt;1,"CHECK OPENING QTY",IF(D30&lt;=0,"CHECK OPENING QTY",IF(H30&lt;0,"CHECK NEGATIVE BALANCE",IF(I30&lt;Assumptions!$B$6,"CHECK LOW BALANCE","OK"))))))</f>
        <v/>
      </c>
    </row>
    <row r="31" ht="30" customHeight="1">
      <c r="A31" s="19" t="n"/>
      <c r="B31" s="19" t="n"/>
      <c r="C31" s="21" t="n"/>
      <c r="D31" s="22" t="n"/>
      <c r="E31" s="29" t="n"/>
      <c r="F31" s="19" t="n"/>
      <c r="G31" s="26">
        <f>IF(A31="","","lb")</f>
        <v/>
      </c>
      <c r="H31" s="28">
        <f>IF(A31="","",IFERROR(D31-SUMIFS('Usage Log'!$I$6:$I$105,'Usage Log'!$B$6:$B$105,A31,'Usage Log'!$Q$6:$Q$105,"&lt;&gt;Voided")+SUMIFS('Usage Log'!$K$6:$K$105,'Usage Log'!$B$6:$B$105,A31,'Usage Log'!$Q$6:$Q$105,"&lt;&gt;Voided"),""))</f>
        <v/>
      </c>
      <c r="I31" s="31">
        <f>IF(A31="","",IFERROR(H31/D31,""))</f>
        <v/>
      </c>
      <c r="J31" s="26">
        <f>IF(A31="","",IF(F31="Retired","RETIRED",IF(COUNT(D31)&lt;1,"CHECK OPENING QTY",IF(D31&lt;=0,"CHECK OPENING QTY",IF(H31&lt;0,"CHECK NEGATIVE BALANCE",IF(I31&lt;Assumptions!$B$6,"CHECK LOW BALANCE","OK"))))))</f>
        <v/>
      </c>
    </row>
    <row r="32" ht="30" customHeight="1">
      <c r="A32" s="19" t="n"/>
      <c r="B32" s="19" t="n"/>
      <c r="C32" s="21" t="n"/>
      <c r="D32" s="22" t="n"/>
      <c r="E32" s="29" t="n"/>
      <c r="F32" s="19" t="n"/>
      <c r="G32" s="23">
        <f>IF(A32="","","lb")</f>
        <v/>
      </c>
      <c r="H32" s="24">
        <f>IF(A32="","",IFERROR(D32-SUMIFS('Usage Log'!$I$6:$I$105,'Usage Log'!$B$6:$B$105,A32,'Usage Log'!$Q$6:$Q$105,"&lt;&gt;Voided")+SUMIFS('Usage Log'!$K$6:$K$105,'Usage Log'!$B$6:$B$105,A32,'Usage Log'!$Q$6:$Q$105,"&lt;&gt;Voided"),""))</f>
        <v/>
      </c>
      <c r="I32" s="30">
        <f>IF(A32="","",IFERROR(H32/D32,""))</f>
        <v/>
      </c>
      <c r="J32" s="23">
        <f>IF(A32="","",IF(F32="Retired","RETIRED",IF(COUNT(D32)&lt;1,"CHECK OPENING QTY",IF(D32&lt;=0,"CHECK OPENING QTY",IF(H32&lt;0,"CHECK NEGATIVE BALANCE",IF(I32&lt;Assumptions!$B$6,"CHECK LOW BALANCE","OK"))))))</f>
        <v/>
      </c>
    </row>
    <row r="33" ht="30" customHeight="1">
      <c r="A33" s="19" t="n"/>
      <c r="B33" s="19" t="n"/>
      <c r="C33" s="21" t="n"/>
      <c r="D33" s="22" t="n"/>
      <c r="E33" s="29" t="n"/>
      <c r="F33" s="19" t="n"/>
      <c r="G33" s="26">
        <f>IF(A33="","","lb")</f>
        <v/>
      </c>
      <c r="H33" s="28">
        <f>IF(A33="","",IFERROR(D33-SUMIFS('Usage Log'!$I$6:$I$105,'Usage Log'!$B$6:$B$105,A33,'Usage Log'!$Q$6:$Q$105,"&lt;&gt;Voided")+SUMIFS('Usage Log'!$K$6:$K$105,'Usage Log'!$B$6:$B$105,A33,'Usage Log'!$Q$6:$Q$105,"&lt;&gt;Voided"),""))</f>
        <v/>
      </c>
      <c r="I33" s="31">
        <f>IF(A33="","",IFERROR(H33/D33,""))</f>
        <v/>
      </c>
      <c r="J33" s="26">
        <f>IF(A33="","",IF(F33="Retired","RETIRED",IF(COUNT(D33)&lt;1,"CHECK OPENING QTY",IF(D33&lt;=0,"CHECK OPENING QTY",IF(H33&lt;0,"CHECK NEGATIVE BALANCE",IF(I33&lt;Assumptions!$B$6,"CHECK LOW BALANCE","OK"))))))</f>
        <v/>
      </c>
    </row>
    <row r="34" ht="30" customHeight="1">
      <c r="A34" s="19" t="n"/>
      <c r="B34" s="19" t="n"/>
      <c r="C34" s="21" t="n"/>
      <c r="D34" s="22" t="n"/>
      <c r="E34" s="29" t="n"/>
      <c r="F34" s="19" t="n"/>
      <c r="G34" s="23">
        <f>IF(A34="","","lb")</f>
        <v/>
      </c>
      <c r="H34" s="24">
        <f>IF(A34="","",IFERROR(D34-SUMIFS('Usage Log'!$I$6:$I$105,'Usage Log'!$B$6:$B$105,A34,'Usage Log'!$Q$6:$Q$105,"&lt;&gt;Voided")+SUMIFS('Usage Log'!$K$6:$K$105,'Usage Log'!$B$6:$B$105,A34,'Usage Log'!$Q$6:$Q$105,"&lt;&gt;Voided"),""))</f>
        <v/>
      </c>
      <c r="I34" s="30">
        <f>IF(A34="","",IFERROR(H34/D34,""))</f>
        <v/>
      </c>
      <c r="J34" s="23">
        <f>IF(A34="","",IF(F34="Retired","RETIRED",IF(COUNT(D34)&lt;1,"CHECK OPENING QTY",IF(D34&lt;=0,"CHECK OPENING QTY",IF(H34&lt;0,"CHECK NEGATIVE BALANCE",IF(I34&lt;Assumptions!$B$6,"CHECK LOW BALANCE","OK"))))))</f>
        <v/>
      </c>
    </row>
    <row r="35" ht="30" customHeight="1">
      <c r="A35" s="19" t="n"/>
      <c r="B35" s="19" t="n"/>
      <c r="C35" s="21" t="n"/>
      <c r="D35" s="22" t="n"/>
      <c r="E35" s="29" t="n"/>
      <c r="F35" s="19" t="n"/>
      <c r="G35" s="26">
        <f>IF(A35="","","lb")</f>
        <v/>
      </c>
      <c r="H35" s="28">
        <f>IF(A35="","",IFERROR(D35-SUMIFS('Usage Log'!$I$6:$I$105,'Usage Log'!$B$6:$B$105,A35,'Usage Log'!$Q$6:$Q$105,"&lt;&gt;Voided")+SUMIFS('Usage Log'!$K$6:$K$105,'Usage Log'!$B$6:$B$105,A35,'Usage Log'!$Q$6:$Q$105,"&lt;&gt;Voided"),""))</f>
        <v/>
      </c>
      <c r="I35" s="31">
        <f>IF(A35="","",IFERROR(H35/D35,""))</f>
        <v/>
      </c>
      <c r="J35" s="26">
        <f>IF(A35="","",IF(F35="Retired","RETIRED",IF(COUNT(D35)&lt;1,"CHECK OPENING QTY",IF(D35&lt;=0,"CHECK OPENING QTY",IF(H35&lt;0,"CHECK NEGATIVE BALANCE",IF(I35&lt;Assumptions!$B$6,"CHECK LOW BALANCE","OK"))))))</f>
        <v/>
      </c>
    </row>
    <row r="36" ht="30" customHeight="1">
      <c r="A36" s="19" t="n"/>
      <c r="B36" s="19" t="n"/>
      <c r="C36" s="21" t="n"/>
      <c r="D36" s="22" t="n"/>
      <c r="E36" s="29" t="n"/>
      <c r="F36" s="19" t="n"/>
      <c r="G36" s="23">
        <f>IF(A36="","","lb")</f>
        <v/>
      </c>
      <c r="H36" s="24">
        <f>IF(A36="","",IFERROR(D36-SUMIFS('Usage Log'!$I$6:$I$105,'Usage Log'!$B$6:$B$105,A36,'Usage Log'!$Q$6:$Q$105,"&lt;&gt;Voided")+SUMIFS('Usage Log'!$K$6:$K$105,'Usage Log'!$B$6:$B$105,A36,'Usage Log'!$Q$6:$Q$105,"&lt;&gt;Voided"),""))</f>
        <v/>
      </c>
      <c r="I36" s="30">
        <f>IF(A36="","",IFERROR(H36/D36,""))</f>
        <v/>
      </c>
      <c r="J36" s="23">
        <f>IF(A36="","",IF(F36="Retired","RETIRED",IF(COUNT(D36)&lt;1,"CHECK OPENING QTY",IF(D36&lt;=0,"CHECK OPENING QTY",IF(H36&lt;0,"CHECK NEGATIVE BALANCE",IF(I36&lt;Assumptions!$B$6,"CHECK LOW BALANCE","OK"))))))</f>
        <v/>
      </c>
    </row>
    <row r="37" ht="30" customHeight="1">
      <c r="A37" s="19" t="n"/>
      <c r="B37" s="19" t="n"/>
      <c r="C37" s="21" t="n"/>
      <c r="D37" s="22" t="n"/>
      <c r="E37" s="29" t="n"/>
      <c r="F37" s="19" t="n"/>
      <c r="G37" s="26">
        <f>IF(A37="","","lb")</f>
        <v/>
      </c>
      <c r="H37" s="28">
        <f>IF(A37="","",IFERROR(D37-SUMIFS('Usage Log'!$I$6:$I$105,'Usage Log'!$B$6:$B$105,A37,'Usage Log'!$Q$6:$Q$105,"&lt;&gt;Voided")+SUMIFS('Usage Log'!$K$6:$K$105,'Usage Log'!$B$6:$B$105,A37,'Usage Log'!$Q$6:$Q$105,"&lt;&gt;Voided"),""))</f>
        <v/>
      </c>
      <c r="I37" s="31">
        <f>IF(A37="","",IFERROR(H37/D37,""))</f>
        <v/>
      </c>
      <c r="J37" s="26">
        <f>IF(A37="","",IF(F37="Retired","RETIRED",IF(COUNT(D37)&lt;1,"CHECK OPENING QTY",IF(D37&lt;=0,"CHECK OPENING QTY",IF(H37&lt;0,"CHECK NEGATIVE BALANCE",IF(I37&lt;Assumptions!$B$6,"CHECK LOW BALANCE","OK"))))))</f>
        <v/>
      </c>
    </row>
    <row r="38" ht="30" customHeight="1">
      <c r="A38" s="19" t="n"/>
      <c r="B38" s="19" t="n"/>
      <c r="C38" s="21" t="n"/>
      <c r="D38" s="22" t="n"/>
      <c r="E38" s="29" t="n"/>
      <c r="F38" s="19" t="n"/>
      <c r="G38" s="23">
        <f>IF(A38="","","lb")</f>
        <v/>
      </c>
      <c r="H38" s="24">
        <f>IF(A38="","",IFERROR(D38-SUMIFS('Usage Log'!$I$6:$I$105,'Usage Log'!$B$6:$B$105,A38,'Usage Log'!$Q$6:$Q$105,"&lt;&gt;Voided")+SUMIFS('Usage Log'!$K$6:$K$105,'Usage Log'!$B$6:$B$105,A38,'Usage Log'!$Q$6:$Q$105,"&lt;&gt;Voided"),""))</f>
        <v/>
      </c>
      <c r="I38" s="30">
        <f>IF(A38="","",IFERROR(H38/D38,""))</f>
        <v/>
      </c>
      <c r="J38" s="23">
        <f>IF(A38="","",IF(F38="Retired","RETIRED",IF(COUNT(D38)&lt;1,"CHECK OPENING QTY",IF(D38&lt;=0,"CHECK OPENING QTY",IF(H38&lt;0,"CHECK NEGATIVE BALANCE",IF(I38&lt;Assumptions!$B$6,"CHECK LOW BALANCE","OK"))))))</f>
        <v/>
      </c>
    </row>
    <row r="39" ht="30" customHeight="1">
      <c r="A39" s="19" t="n"/>
      <c r="B39" s="19" t="n"/>
      <c r="C39" s="21" t="n"/>
      <c r="D39" s="22" t="n"/>
      <c r="E39" s="29" t="n"/>
      <c r="F39" s="19" t="n"/>
      <c r="G39" s="26">
        <f>IF(A39="","","lb")</f>
        <v/>
      </c>
      <c r="H39" s="28">
        <f>IF(A39="","",IFERROR(D39-SUMIFS('Usage Log'!$I$6:$I$105,'Usage Log'!$B$6:$B$105,A39,'Usage Log'!$Q$6:$Q$105,"&lt;&gt;Voided")+SUMIFS('Usage Log'!$K$6:$K$105,'Usage Log'!$B$6:$B$105,A39,'Usage Log'!$Q$6:$Q$105,"&lt;&gt;Voided"),""))</f>
        <v/>
      </c>
      <c r="I39" s="31">
        <f>IF(A39="","",IFERROR(H39/D39,""))</f>
        <v/>
      </c>
      <c r="J39" s="26">
        <f>IF(A39="","",IF(F39="Retired","RETIRED",IF(COUNT(D39)&lt;1,"CHECK OPENING QTY",IF(D39&lt;=0,"CHECK OPENING QTY",IF(H39&lt;0,"CHECK NEGATIVE BALANCE",IF(I39&lt;Assumptions!$B$6,"CHECK LOW BALANCE","OK"))))))</f>
        <v/>
      </c>
    </row>
    <row r="40" ht="30" customHeight="1">
      <c r="A40" s="19" t="n"/>
      <c r="B40" s="19" t="n"/>
      <c r="C40" s="21" t="n"/>
      <c r="D40" s="22" t="n"/>
      <c r="E40" s="29" t="n"/>
      <c r="F40" s="19" t="n"/>
      <c r="G40" s="23">
        <f>IF(A40="","","lb")</f>
        <v/>
      </c>
      <c r="H40" s="24">
        <f>IF(A40="","",IFERROR(D40-SUMIFS('Usage Log'!$I$6:$I$105,'Usage Log'!$B$6:$B$105,A40,'Usage Log'!$Q$6:$Q$105,"&lt;&gt;Voided")+SUMIFS('Usage Log'!$K$6:$K$105,'Usage Log'!$B$6:$B$105,A40,'Usage Log'!$Q$6:$Q$105,"&lt;&gt;Voided"),""))</f>
        <v/>
      </c>
      <c r="I40" s="30">
        <f>IF(A40="","",IFERROR(H40/D40,""))</f>
        <v/>
      </c>
      <c r="J40" s="23">
        <f>IF(A40="","",IF(F40="Retired","RETIRED",IF(COUNT(D40)&lt;1,"CHECK OPENING QTY",IF(D40&lt;=0,"CHECK OPENING QTY",IF(H40&lt;0,"CHECK NEGATIVE BALANCE",IF(I40&lt;Assumptions!$B$6,"CHECK LOW BALANCE","OK"))))))</f>
        <v/>
      </c>
    </row>
    <row r="41" ht="30" customHeight="1">
      <c r="A41" s="19" t="n"/>
      <c r="B41" s="19" t="n"/>
      <c r="C41" s="21" t="n"/>
      <c r="D41" s="22" t="n"/>
      <c r="E41" s="29" t="n"/>
      <c r="F41" s="19" t="n"/>
      <c r="G41" s="26">
        <f>IF(A41="","","lb")</f>
        <v/>
      </c>
      <c r="H41" s="28">
        <f>IF(A41="","",IFERROR(D41-SUMIFS('Usage Log'!$I$6:$I$105,'Usage Log'!$B$6:$B$105,A41,'Usage Log'!$Q$6:$Q$105,"&lt;&gt;Voided")+SUMIFS('Usage Log'!$K$6:$K$105,'Usage Log'!$B$6:$B$105,A41,'Usage Log'!$Q$6:$Q$105,"&lt;&gt;Voided"),""))</f>
        <v/>
      </c>
      <c r="I41" s="31">
        <f>IF(A41="","",IFERROR(H41/D41,""))</f>
        <v/>
      </c>
      <c r="J41" s="26">
        <f>IF(A41="","",IF(F41="Retired","RETIRED",IF(COUNT(D41)&lt;1,"CHECK OPENING QTY",IF(D41&lt;=0,"CHECK OPENING QTY",IF(H41&lt;0,"CHECK NEGATIVE BALANCE",IF(I41&lt;Assumptions!$B$6,"CHECK LOW BALANCE","OK"))))))</f>
        <v/>
      </c>
    </row>
    <row r="42" ht="30" customHeight="1">
      <c r="A42" s="19" t="n"/>
      <c r="B42" s="19" t="n"/>
      <c r="C42" s="21" t="n"/>
      <c r="D42" s="22" t="n"/>
      <c r="E42" s="29" t="n"/>
      <c r="F42" s="19" t="n"/>
      <c r="G42" s="23">
        <f>IF(A42="","","lb")</f>
        <v/>
      </c>
      <c r="H42" s="24">
        <f>IF(A42="","",IFERROR(D42-SUMIFS('Usage Log'!$I$6:$I$105,'Usage Log'!$B$6:$B$105,A42,'Usage Log'!$Q$6:$Q$105,"&lt;&gt;Voided")+SUMIFS('Usage Log'!$K$6:$K$105,'Usage Log'!$B$6:$B$105,A42,'Usage Log'!$Q$6:$Q$105,"&lt;&gt;Voided"),""))</f>
        <v/>
      </c>
      <c r="I42" s="30">
        <f>IF(A42="","",IFERROR(H42/D42,""))</f>
        <v/>
      </c>
      <c r="J42" s="23">
        <f>IF(A42="","",IF(F42="Retired","RETIRED",IF(COUNT(D42)&lt;1,"CHECK OPENING QTY",IF(D42&lt;=0,"CHECK OPENING QTY",IF(H42&lt;0,"CHECK NEGATIVE BALANCE",IF(I42&lt;Assumptions!$B$6,"CHECK LOW BALANCE","OK"))))))</f>
        <v/>
      </c>
    </row>
    <row r="43" ht="30" customHeight="1">
      <c r="A43" s="19" t="n"/>
      <c r="B43" s="19" t="n"/>
      <c r="C43" s="21" t="n"/>
      <c r="D43" s="22" t="n"/>
      <c r="E43" s="29" t="n"/>
      <c r="F43" s="19" t="n"/>
      <c r="G43" s="26">
        <f>IF(A43="","","lb")</f>
        <v/>
      </c>
      <c r="H43" s="28">
        <f>IF(A43="","",IFERROR(D43-SUMIFS('Usage Log'!$I$6:$I$105,'Usage Log'!$B$6:$B$105,A43,'Usage Log'!$Q$6:$Q$105,"&lt;&gt;Voided")+SUMIFS('Usage Log'!$K$6:$K$105,'Usage Log'!$B$6:$B$105,A43,'Usage Log'!$Q$6:$Q$105,"&lt;&gt;Voided"),""))</f>
        <v/>
      </c>
      <c r="I43" s="31">
        <f>IF(A43="","",IFERROR(H43/D43,""))</f>
        <v/>
      </c>
      <c r="J43" s="26">
        <f>IF(A43="","",IF(F43="Retired","RETIRED",IF(COUNT(D43)&lt;1,"CHECK OPENING QTY",IF(D43&lt;=0,"CHECK OPENING QTY",IF(H43&lt;0,"CHECK NEGATIVE BALANCE",IF(I43&lt;Assumptions!$B$6,"CHECK LOW BALANCE","OK"))))))</f>
        <v/>
      </c>
    </row>
    <row r="44" ht="30" customHeight="1">
      <c r="A44" s="19" t="n"/>
      <c r="B44" s="19" t="n"/>
      <c r="C44" s="21" t="n"/>
      <c r="D44" s="22" t="n"/>
      <c r="E44" s="29" t="n"/>
      <c r="F44" s="19" t="n"/>
      <c r="G44" s="23">
        <f>IF(A44="","","lb")</f>
        <v/>
      </c>
      <c r="H44" s="24">
        <f>IF(A44="","",IFERROR(D44-SUMIFS('Usage Log'!$I$6:$I$105,'Usage Log'!$B$6:$B$105,A44,'Usage Log'!$Q$6:$Q$105,"&lt;&gt;Voided")+SUMIFS('Usage Log'!$K$6:$K$105,'Usage Log'!$B$6:$B$105,A44,'Usage Log'!$Q$6:$Q$105,"&lt;&gt;Voided"),""))</f>
        <v/>
      </c>
      <c r="I44" s="30">
        <f>IF(A44="","",IFERROR(H44/D44,""))</f>
        <v/>
      </c>
      <c r="J44" s="23">
        <f>IF(A44="","",IF(F44="Retired","RETIRED",IF(COUNT(D44)&lt;1,"CHECK OPENING QTY",IF(D44&lt;=0,"CHECK OPENING QTY",IF(H44&lt;0,"CHECK NEGATIVE BALANCE",IF(I44&lt;Assumptions!$B$6,"CHECK LOW BALANCE","OK"))))))</f>
        <v/>
      </c>
    </row>
    <row r="45" ht="30" customHeight="1">
      <c r="A45" s="19" t="n"/>
      <c r="B45" s="19" t="n"/>
      <c r="C45" s="21" t="n"/>
      <c r="D45" s="22" t="n"/>
      <c r="E45" s="29" t="n"/>
      <c r="F45" s="19" t="n"/>
      <c r="G45" s="26">
        <f>IF(A45="","","lb")</f>
        <v/>
      </c>
      <c r="H45" s="28">
        <f>IF(A45="","",IFERROR(D45-SUMIFS('Usage Log'!$I$6:$I$105,'Usage Log'!$B$6:$B$105,A45,'Usage Log'!$Q$6:$Q$105,"&lt;&gt;Voided")+SUMIFS('Usage Log'!$K$6:$K$105,'Usage Log'!$B$6:$B$105,A45,'Usage Log'!$Q$6:$Q$105,"&lt;&gt;Voided"),""))</f>
        <v/>
      </c>
      <c r="I45" s="31">
        <f>IF(A45="","",IFERROR(H45/D45,""))</f>
        <v/>
      </c>
      <c r="J45" s="26">
        <f>IF(A45="","",IF(F45="Retired","RETIRED",IF(COUNT(D45)&lt;1,"CHECK OPENING QTY",IF(D45&lt;=0,"CHECK OPENING QTY",IF(H45&lt;0,"CHECK NEGATIVE BALANCE",IF(I45&lt;Assumptions!$B$6,"CHECK LOW BALANCE","OK"))))))</f>
        <v/>
      </c>
    </row>
    <row r="46" ht="30" customHeight="1">
      <c r="A46" s="19" t="n"/>
      <c r="B46" s="19" t="n"/>
      <c r="C46" s="21" t="n"/>
      <c r="D46" s="22" t="n"/>
      <c r="E46" s="29" t="n"/>
      <c r="F46" s="19" t="n"/>
      <c r="G46" s="23">
        <f>IF(A46="","","lb")</f>
        <v/>
      </c>
      <c r="H46" s="24">
        <f>IF(A46="","",IFERROR(D46-SUMIFS('Usage Log'!$I$6:$I$105,'Usage Log'!$B$6:$B$105,A46,'Usage Log'!$Q$6:$Q$105,"&lt;&gt;Voided")+SUMIFS('Usage Log'!$K$6:$K$105,'Usage Log'!$B$6:$B$105,A46,'Usage Log'!$Q$6:$Q$105,"&lt;&gt;Voided"),""))</f>
        <v/>
      </c>
      <c r="I46" s="30">
        <f>IF(A46="","",IFERROR(H46/D46,""))</f>
        <v/>
      </c>
      <c r="J46" s="23">
        <f>IF(A46="","",IF(F46="Retired","RETIRED",IF(COUNT(D46)&lt;1,"CHECK OPENING QTY",IF(D46&lt;=0,"CHECK OPENING QTY",IF(H46&lt;0,"CHECK NEGATIVE BALANCE",IF(I46&lt;Assumptions!$B$6,"CHECK LOW BALANCE","OK"))))))</f>
        <v/>
      </c>
    </row>
    <row r="47" ht="30" customHeight="1">
      <c r="A47" s="19" t="n"/>
      <c r="B47" s="19" t="n"/>
      <c r="C47" s="21" t="n"/>
      <c r="D47" s="22" t="n"/>
      <c r="E47" s="29" t="n"/>
      <c r="F47" s="19" t="n"/>
      <c r="G47" s="26">
        <f>IF(A47="","","lb")</f>
        <v/>
      </c>
      <c r="H47" s="28">
        <f>IF(A47="","",IFERROR(D47-SUMIFS('Usage Log'!$I$6:$I$105,'Usage Log'!$B$6:$B$105,A47,'Usage Log'!$Q$6:$Q$105,"&lt;&gt;Voided")+SUMIFS('Usage Log'!$K$6:$K$105,'Usage Log'!$B$6:$B$105,A47,'Usage Log'!$Q$6:$Q$105,"&lt;&gt;Voided"),""))</f>
        <v/>
      </c>
      <c r="I47" s="31">
        <f>IF(A47="","",IFERROR(H47/D47,""))</f>
        <v/>
      </c>
      <c r="J47" s="26">
        <f>IF(A47="","",IF(F47="Retired","RETIRED",IF(COUNT(D47)&lt;1,"CHECK OPENING QTY",IF(D47&lt;=0,"CHECK OPENING QTY",IF(H47&lt;0,"CHECK NEGATIVE BALANCE",IF(I47&lt;Assumptions!$B$6,"CHECK LOW BALANCE","OK"))))))</f>
        <v/>
      </c>
    </row>
    <row r="48" ht="30" customHeight="1">
      <c r="A48" s="19" t="n"/>
      <c r="B48" s="19" t="n"/>
      <c r="C48" s="21" t="n"/>
      <c r="D48" s="22" t="n"/>
      <c r="E48" s="29" t="n"/>
      <c r="F48" s="19" t="n"/>
      <c r="G48" s="23">
        <f>IF(A48="","","lb")</f>
        <v/>
      </c>
      <c r="H48" s="24">
        <f>IF(A48="","",IFERROR(D48-SUMIFS('Usage Log'!$I$6:$I$105,'Usage Log'!$B$6:$B$105,A48,'Usage Log'!$Q$6:$Q$105,"&lt;&gt;Voided")+SUMIFS('Usage Log'!$K$6:$K$105,'Usage Log'!$B$6:$B$105,A48,'Usage Log'!$Q$6:$Q$105,"&lt;&gt;Voided"),""))</f>
        <v/>
      </c>
      <c r="I48" s="30">
        <f>IF(A48="","",IFERROR(H48/D48,""))</f>
        <v/>
      </c>
      <c r="J48" s="23">
        <f>IF(A48="","",IF(F48="Retired","RETIRED",IF(COUNT(D48)&lt;1,"CHECK OPENING QTY",IF(D48&lt;=0,"CHECK OPENING QTY",IF(H48&lt;0,"CHECK NEGATIVE BALANCE",IF(I48&lt;Assumptions!$B$6,"CHECK LOW BALANCE","OK"))))))</f>
        <v/>
      </c>
    </row>
    <row r="49" ht="30" customHeight="1">
      <c r="A49" s="19" t="n"/>
      <c r="B49" s="19" t="n"/>
      <c r="C49" s="21" t="n"/>
      <c r="D49" s="22" t="n"/>
      <c r="E49" s="29" t="n"/>
      <c r="F49" s="19" t="n"/>
      <c r="G49" s="26">
        <f>IF(A49="","","lb")</f>
        <v/>
      </c>
      <c r="H49" s="28">
        <f>IF(A49="","",IFERROR(D49-SUMIFS('Usage Log'!$I$6:$I$105,'Usage Log'!$B$6:$B$105,A49,'Usage Log'!$Q$6:$Q$105,"&lt;&gt;Voided")+SUMIFS('Usage Log'!$K$6:$K$105,'Usage Log'!$B$6:$B$105,A49,'Usage Log'!$Q$6:$Q$105,"&lt;&gt;Voided"),""))</f>
        <v/>
      </c>
      <c r="I49" s="31">
        <f>IF(A49="","",IFERROR(H49/D49,""))</f>
        <v/>
      </c>
      <c r="J49" s="26">
        <f>IF(A49="","",IF(F49="Retired","RETIRED",IF(COUNT(D49)&lt;1,"CHECK OPENING QTY",IF(D49&lt;=0,"CHECK OPENING QTY",IF(H49&lt;0,"CHECK NEGATIVE BALANCE",IF(I49&lt;Assumptions!$B$6,"CHECK LOW BALANCE","OK"))))))</f>
        <v/>
      </c>
    </row>
    <row r="50" ht="30" customHeight="1">
      <c r="A50" s="19" t="n"/>
      <c r="B50" s="19" t="n"/>
      <c r="C50" s="21" t="n"/>
      <c r="D50" s="22" t="n"/>
      <c r="E50" s="29" t="n"/>
      <c r="F50" s="19" t="n"/>
      <c r="G50" s="23">
        <f>IF(A50="","","lb")</f>
        <v/>
      </c>
      <c r="H50" s="24">
        <f>IF(A50="","",IFERROR(D50-SUMIFS('Usage Log'!$I$6:$I$105,'Usage Log'!$B$6:$B$105,A50,'Usage Log'!$Q$6:$Q$105,"&lt;&gt;Voided")+SUMIFS('Usage Log'!$K$6:$K$105,'Usage Log'!$B$6:$B$105,A50,'Usage Log'!$Q$6:$Q$105,"&lt;&gt;Voided"),""))</f>
        <v/>
      </c>
      <c r="I50" s="30">
        <f>IF(A50="","",IFERROR(H50/D50,""))</f>
        <v/>
      </c>
      <c r="J50" s="23">
        <f>IF(A50="","",IF(F50="Retired","RETIRED",IF(COUNT(D50)&lt;1,"CHECK OPENING QTY",IF(D50&lt;=0,"CHECK OPENING QTY",IF(H50&lt;0,"CHECK NEGATIVE BALANCE",IF(I50&lt;Assumptions!$B$6,"CHECK LOW BALANCE","OK"))))))</f>
        <v/>
      </c>
    </row>
    <row r="51" ht="30" customHeight="1">
      <c r="A51" s="19" t="n"/>
      <c r="B51" s="19" t="n"/>
      <c r="C51" s="21" t="n"/>
      <c r="D51" s="22" t="n"/>
      <c r="E51" s="29" t="n"/>
      <c r="F51" s="19" t="n"/>
      <c r="G51" s="26">
        <f>IF(A51="","","lb")</f>
        <v/>
      </c>
      <c r="H51" s="28">
        <f>IF(A51="","",IFERROR(D51-SUMIFS('Usage Log'!$I$6:$I$105,'Usage Log'!$B$6:$B$105,A51,'Usage Log'!$Q$6:$Q$105,"&lt;&gt;Voided")+SUMIFS('Usage Log'!$K$6:$K$105,'Usage Log'!$B$6:$B$105,A51,'Usage Log'!$Q$6:$Q$105,"&lt;&gt;Voided"),""))</f>
        <v/>
      </c>
      <c r="I51" s="31">
        <f>IF(A51="","",IFERROR(H51/D51,""))</f>
        <v/>
      </c>
      <c r="J51" s="26">
        <f>IF(A51="","",IF(F51="Retired","RETIRED",IF(COUNT(D51)&lt;1,"CHECK OPENING QTY",IF(D51&lt;=0,"CHECK OPENING QTY",IF(H51&lt;0,"CHECK NEGATIVE BALANCE",IF(I51&lt;Assumptions!$B$6,"CHECK LOW BALANCE","OK"))))))</f>
        <v/>
      </c>
    </row>
    <row r="52" ht="30" customHeight="1">
      <c r="A52" s="19" t="n"/>
      <c r="B52" s="19" t="n"/>
      <c r="C52" s="21" t="n"/>
      <c r="D52" s="22" t="n"/>
      <c r="E52" s="29" t="n"/>
      <c r="F52" s="19" t="n"/>
      <c r="G52" s="23">
        <f>IF(A52="","","lb")</f>
        <v/>
      </c>
      <c r="H52" s="24">
        <f>IF(A52="","",IFERROR(D52-SUMIFS('Usage Log'!$I$6:$I$105,'Usage Log'!$B$6:$B$105,A52,'Usage Log'!$Q$6:$Q$105,"&lt;&gt;Voided")+SUMIFS('Usage Log'!$K$6:$K$105,'Usage Log'!$B$6:$B$105,A52,'Usage Log'!$Q$6:$Q$105,"&lt;&gt;Voided"),""))</f>
        <v/>
      </c>
      <c r="I52" s="30">
        <f>IF(A52="","",IFERROR(H52/D52,""))</f>
        <v/>
      </c>
      <c r="J52" s="23">
        <f>IF(A52="","",IF(F52="Retired","RETIRED",IF(COUNT(D52)&lt;1,"CHECK OPENING QTY",IF(D52&lt;=0,"CHECK OPENING QTY",IF(H52&lt;0,"CHECK NEGATIVE BALANCE",IF(I52&lt;Assumptions!$B$6,"CHECK LOW BALANCE","OK"))))))</f>
        <v/>
      </c>
    </row>
    <row r="53" ht="30" customHeight="1">
      <c r="A53" s="19" t="n"/>
      <c r="B53" s="19" t="n"/>
      <c r="C53" s="21" t="n"/>
      <c r="D53" s="22" t="n"/>
      <c r="E53" s="29" t="n"/>
      <c r="F53" s="19" t="n"/>
      <c r="G53" s="26">
        <f>IF(A53="","","lb")</f>
        <v/>
      </c>
      <c r="H53" s="28">
        <f>IF(A53="","",IFERROR(D53-SUMIFS('Usage Log'!$I$6:$I$105,'Usage Log'!$B$6:$B$105,A53,'Usage Log'!$Q$6:$Q$105,"&lt;&gt;Voided")+SUMIFS('Usage Log'!$K$6:$K$105,'Usage Log'!$B$6:$B$105,A53,'Usage Log'!$Q$6:$Q$105,"&lt;&gt;Voided"),""))</f>
        <v/>
      </c>
      <c r="I53" s="31">
        <f>IF(A53="","",IFERROR(H53/D53,""))</f>
        <v/>
      </c>
      <c r="J53" s="26">
        <f>IF(A53="","",IF(F53="Retired","RETIRED",IF(COUNT(D53)&lt;1,"CHECK OPENING QTY",IF(D53&lt;=0,"CHECK OPENING QTY",IF(H53&lt;0,"CHECK NEGATIVE BALANCE",IF(I53&lt;Assumptions!$B$6,"CHECK LOW BALANCE","OK"))))))</f>
        <v/>
      </c>
    </row>
    <row r="54" ht="30" customHeight="1">
      <c r="A54" s="19" t="n"/>
      <c r="B54" s="19" t="n"/>
      <c r="C54" s="21" t="n"/>
      <c r="D54" s="22" t="n"/>
      <c r="E54" s="29" t="n"/>
      <c r="F54" s="19" t="n"/>
      <c r="G54" s="23">
        <f>IF(A54="","","lb")</f>
        <v/>
      </c>
      <c r="H54" s="24">
        <f>IF(A54="","",IFERROR(D54-SUMIFS('Usage Log'!$I$6:$I$105,'Usage Log'!$B$6:$B$105,A54,'Usage Log'!$Q$6:$Q$105,"&lt;&gt;Voided")+SUMIFS('Usage Log'!$K$6:$K$105,'Usage Log'!$B$6:$B$105,A54,'Usage Log'!$Q$6:$Q$105,"&lt;&gt;Voided"),""))</f>
        <v/>
      </c>
      <c r="I54" s="30">
        <f>IF(A54="","",IFERROR(H54/D54,""))</f>
        <v/>
      </c>
      <c r="J54" s="23">
        <f>IF(A54="","",IF(F54="Retired","RETIRED",IF(COUNT(D54)&lt;1,"CHECK OPENING QTY",IF(D54&lt;=0,"CHECK OPENING QTY",IF(H54&lt;0,"CHECK NEGATIVE BALANCE",IF(I54&lt;Assumptions!$B$6,"CHECK LOW BALANCE","OK"))))))</f>
        <v/>
      </c>
    </row>
    <row r="55" ht="30" customHeight="1">
      <c r="A55" s="19" t="n"/>
      <c r="B55" s="19" t="n"/>
      <c r="C55" s="21" t="n"/>
      <c r="D55" s="22" t="n"/>
      <c r="E55" s="29" t="n"/>
      <c r="F55" s="19" t="n"/>
      <c r="G55" s="26">
        <f>IF(A55="","","lb")</f>
        <v/>
      </c>
      <c r="H55" s="28">
        <f>IF(A55="","",IFERROR(D55-SUMIFS('Usage Log'!$I$6:$I$105,'Usage Log'!$B$6:$B$105,A55,'Usage Log'!$Q$6:$Q$105,"&lt;&gt;Voided")+SUMIFS('Usage Log'!$K$6:$K$105,'Usage Log'!$B$6:$B$105,A55,'Usage Log'!$Q$6:$Q$105,"&lt;&gt;Voided"),""))</f>
        <v/>
      </c>
      <c r="I55" s="31">
        <f>IF(A55="","",IFERROR(H55/D55,""))</f>
        <v/>
      </c>
      <c r="J55" s="26">
        <f>IF(A55="","",IF(F55="Retired","RETIRED",IF(COUNT(D55)&lt;1,"CHECK OPENING QTY",IF(D55&lt;=0,"CHECK OPENING QTY",IF(H55&lt;0,"CHECK NEGATIVE BALANCE",IF(I55&lt;Assumptions!$B$6,"CHECK LOW BALANCE","OK"))))))</f>
        <v/>
      </c>
    </row>
    <row r="56" ht="30" customHeight="1">
      <c r="A56" s="19" t="n"/>
      <c r="B56" s="19" t="n"/>
      <c r="C56" s="21" t="n"/>
      <c r="D56" s="22" t="n"/>
      <c r="E56" s="29" t="n"/>
      <c r="F56" s="19" t="n"/>
      <c r="G56" s="23">
        <f>IF(A56="","","lb")</f>
        <v/>
      </c>
      <c r="H56" s="24">
        <f>IF(A56="","",IFERROR(D56-SUMIFS('Usage Log'!$I$6:$I$105,'Usage Log'!$B$6:$B$105,A56,'Usage Log'!$Q$6:$Q$105,"&lt;&gt;Voided")+SUMIFS('Usage Log'!$K$6:$K$105,'Usage Log'!$B$6:$B$105,A56,'Usage Log'!$Q$6:$Q$105,"&lt;&gt;Voided"),""))</f>
        <v/>
      </c>
      <c r="I56" s="30">
        <f>IF(A56="","",IFERROR(H56/D56,""))</f>
        <v/>
      </c>
      <c r="J56" s="23">
        <f>IF(A56="","",IF(F56="Retired","RETIRED",IF(COUNT(D56)&lt;1,"CHECK OPENING QTY",IF(D56&lt;=0,"CHECK OPENING QTY",IF(H56&lt;0,"CHECK NEGATIVE BALANCE",IF(I56&lt;Assumptions!$B$6,"CHECK LOW BALANCE","OK"))))))</f>
        <v/>
      </c>
    </row>
    <row r="57" ht="30" customHeight="1">
      <c r="A57" s="19" t="n"/>
      <c r="B57" s="19" t="n"/>
      <c r="C57" s="21" t="n"/>
      <c r="D57" s="22" t="n"/>
      <c r="E57" s="29" t="n"/>
      <c r="F57" s="19" t="n"/>
      <c r="G57" s="26">
        <f>IF(A57="","","lb")</f>
        <v/>
      </c>
      <c r="H57" s="28">
        <f>IF(A57="","",IFERROR(D57-SUMIFS('Usage Log'!$I$6:$I$105,'Usage Log'!$B$6:$B$105,A57,'Usage Log'!$Q$6:$Q$105,"&lt;&gt;Voided")+SUMIFS('Usage Log'!$K$6:$K$105,'Usage Log'!$B$6:$B$105,A57,'Usage Log'!$Q$6:$Q$105,"&lt;&gt;Voided"),""))</f>
        <v/>
      </c>
      <c r="I57" s="31">
        <f>IF(A57="","",IFERROR(H57/D57,""))</f>
        <v/>
      </c>
      <c r="J57" s="26">
        <f>IF(A57="","",IF(F57="Retired","RETIRED",IF(COUNT(D57)&lt;1,"CHECK OPENING QTY",IF(D57&lt;=0,"CHECK OPENING QTY",IF(H57&lt;0,"CHECK NEGATIVE BALANCE",IF(I57&lt;Assumptions!$B$6,"CHECK LOW BALANCE","OK"))))))</f>
        <v/>
      </c>
    </row>
    <row r="58" ht="30" customHeight="1">
      <c r="A58" s="19" t="n"/>
      <c r="B58" s="19" t="n"/>
      <c r="C58" s="21" t="n"/>
      <c r="D58" s="22" t="n"/>
      <c r="E58" s="29" t="n"/>
      <c r="F58" s="19" t="n"/>
      <c r="G58" s="23">
        <f>IF(A58="","","lb")</f>
        <v/>
      </c>
      <c r="H58" s="24">
        <f>IF(A58="","",IFERROR(D58-SUMIFS('Usage Log'!$I$6:$I$105,'Usage Log'!$B$6:$B$105,A58,'Usage Log'!$Q$6:$Q$105,"&lt;&gt;Voided")+SUMIFS('Usage Log'!$K$6:$K$105,'Usage Log'!$B$6:$B$105,A58,'Usage Log'!$Q$6:$Q$105,"&lt;&gt;Voided"),""))</f>
        <v/>
      </c>
      <c r="I58" s="30">
        <f>IF(A58="","",IFERROR(H58/D58,""))</f>
        <v/>
      </c>
      <c r="J58" s="23">
        <f>IF(A58="","",IF(F58="Retired","RETIRED",IF(COUNT(D58)&lt;1,"CHECK OPENING QTY",IF(D58&lt;=0,"CHECK OPENING QTY",IF(H58&lt;0,"CHECK NEGATIVE BALANCE",IF(I58&lt;Assumptions!$B$6,"CHECK LOW BALANCE","OK"))))))</f>
        <v/>
      </c>
    </row>
    <row r="59" ht="30" customHeight="1">
      <c r="A59" s="19" t="n"/>
      <c r="B59" s="19" t="n"/>
      <c r="C59" s="21" t="n"/>
      <c r="D59" s="22" t="n"/>
      <c r="E59" s="29" t="n"/>
      <c r="F59" s="19" t="n"/>
      <c r="G59" s="26">
        <f>IF(A59="","","lb")</f>
        <v/>
      </c>
      <c r="H59" s="28">
        <f>IF(A59="","",IFERROR(D59-SUMIFS('Usage Log'!$I$6:$I$105,'Usage Log'!$B$6:$B$105,A59,'Usage Log'!$Q$6:$Q$105,"&lt;&gt;Voided")+SUMIFS('Usage Log'!$K$6:$K$105,'Usage Log'!$B$6:$B$105,A59,'Usage Log'!$Q$6:$Q$105,"&lt;&gt;Voided"),""))</f>
        <v/>
      </c>
      <c r="I59" s="31">
        <f>IF(A59="","",IFERROR(H59/D59,""))</f>
        <v/>
      </c>
      <c r="J59" s="26">
        <f>IF(A59="","",IF(F59="Retired","RETIRED",IF(COUNT(D59)&lt;1,"CHECK OPENING QTY",IF(D59&lt;=0,"CHECK OPENING QTY",IF(H59&lt;0,"CHECK NEGATIVE BALANCE",IF(I59&lt;Assumptions!$B$6,"CHECK LOW BALANCE","OK"))))))</f>
        <v/>
      </c>
    </row>
    <row r="60" ht="30" customHeight="1">
      <c r="A60" s="19" t="n"/>
      <c r="B60" s="19" t="n"/>
      <c r="C60" s="21" t="n"/>
      <c r="D60" s="22" t="n"/>
      <c r="E60" s="29" t="n"/>
      <c r="F60" s="19" t="n"/>
      <c r="G60" s="23">
        <f>IF(A60="","","lb")</f>
        <v/>
      </c>
      <c r="H60" s="24">
        <f>IF(A60="","",IFERROR(D60-SUMIFS('Usage Log'!$I$6:$I$105,'Usage Log'!$B$6:$B$105,A60,'Usage Log'!$Q$6:$Q$105,"&lt;&gt;Voided")+SUMIFS('Usage Log'!$K$6:$K$105,'Usage Log'!$B$6:$B$105,A60,'Usage Log'!$Q$6:$Q$105,"&lt;&gt;Voided"),""))</f>
        <v/>
      </c>
      <c r="I60" s="30">
        <f>IF(A60="","",IFERROR(H60/D60,""))</f>
        <v/>
      </c>
      <c r="J60" s="23">
        <f>IF(A60="","",IF(F60="Retired","RETIRED",IF(COUNT(D60)&lt;1,"CHECK OPENING QTY",IF(D60&lt;=0,"CHECK OPENING QTY",IF(H60&lt;0,"CHECK NEGATIVE BALANCE",IF(I60&lt;Assumptions!$B$6,"CHECK LOW BALANCE","OK"))))))</f>
        <v/>
      </c>
    </row>
    <row r="61" ht="30" customHeight="1">
      <c r="A61" s="19" t="n"/>
      <c r="B61" s="19" t="n"/>
      <c r="C61" s="21" t="n"/>
      <c r="D61" s="22" t="n"/>
      <c r="E61" s="29" t="n"/>
      <c r="F61" s="19" t="n"/>
      <c r="G61" s="26">
        <f>IF(A61="","","lb")</f>
        <v/>
      </c>
      <c r="H61" s="28">
        <f>IF(A61="","",IFERROR(D61-SUMIFS('Usage Log'!$I$6:$I$105,'Usage Log'!$B$6:$B$105,A61,'Usage Log'!$Q$6:$Q$105,"&lt;&gt;Voided")+SUMIFS('Usage Log'!$K$6:$K$105,'Usage Log'!$B$6:$B$105,A61,'Usage Log'!$Q$6:$Q$105,"&lt;&gt;Voided"),""))</f>
        <v/>
      </c>
      <c r="I61" s="31">
        <f>IF(A61="","",IFERROR(H61/D61,""))</f>
        <v/>
      </c>
      <c r="J61" s="26">
        <f>IF(A61="","",IF(F61="Retired","RETIRED",IF(COUNT(D61)&lt;1,"CHECK OPENING QTY",IF(D61&lt;=0,"CHECK OPENING QTY",IF(H61&lt;0,"CHECK NEGATIVE BALANCE",IF(I61&lt;Assumptions!$B$6,"CHECK LOW BALANCE","OK"))))))</f>
        <v/>
      </c>
    </row>
    <row r="62" ht="30" customHeight="1">
      <c r="A62" s="19" t="n"/>
      <c r="B62" s="19" t="n"/>
      <c r="C62" s="21" t="n"/>
      <c r="D62" s="22" t="n"/>
      <c r="E62" s="29" t="n"/>
      <c r="F62" s="19" t="n"/>
      <c r="G62" s="23">
        <f>IF(A62="","","lb")</f>
        <v/>
      </c>
      <c r="H62" s="24">
        <f>IF(A62="","",IFERROR(D62-SUMIFS('Usage Log'!$I$6:$I$105,'Usage Log'!$B$6:$B$105,A62,'Usage Log'!$Q$6:$Q$105,"&lt;&gt;Voided")+SUMIFS('Usage Log'!$K$6:$K$105,'Usage Log'!$B$6:$B$105,A62,'Usage Log'!$Q$6:$Q$105,"&lt;&gt;Voided"),""))</f>
        <v/>
      </c>
      <c r="I62" s="30">
        <f>IF(A62="","",IFERROR(H62/D62,""))</f>
        <v/>
      </c>
      <c r="J62" s="23">
        <f>IF(A62="","",IF(F62="Retired","RETIRED",IF(COUNT(D62)&lt;1,"CHECK OPENING QTY",IF(D62&lt;=0,"CHECK OPENING QTY",IF(H62&lt;0,"CHECK NEGATIVE BALANCE",IF(I62&lt;Assumptions!$B$6,"CHECK LOW BALANCE","OK"))))))</f>
        <v/>
      </c>
    </row>
    <row r="63" ht="30" customHeight="1">
      <c r="A63" s="19" t="n"/>
      <c r="B63" s="19" t="n"/>
      <c r="C63" s="21" t="n"/>
      <c r="D63" s="22" t="n"/>
      <c r="E63" s="29" t="n"/>
      <c r="F63" s="19" t="n"/>
      <c r="G63" s="26">
        <f>IF(A63="","","lb")</f>
        <v/>
      </c>
      <c r="H63" s="28">
        <f>IF(A63="","",IFERROR(D63-SUMIFS('Usage Log'!$I$6:$I$105,'Usage Log'!$B$6:$B$105,A63,'Usage Log'!$Q$6:$Q$105,"&lt;&gt;Voided")+SUMIFS('Usage Log'!$K$6:$K$105,'Usage Log'!$B$6:$B$105,A63,'Usage Log'!$Q$6:$Q$105,"&lt;&gt;Voided"),""))</f>
        <v/>
      </c>
      <c r="I63" s="31">
        <f>IF(A63="","",IFERROR(H63/D63,""))</f>
        <v/>
      </c>
      <c r="J63" s="26">
        <f>IF(A63="","",IF(F63="Retired","RETIRED",IF(COUNT(D63)&lt;1,"CHECK OPENING QTY",IF(D63&lt;=0,"CHECK OPENING QTY",IF(H63&lt;0,"CHECK NEGATIVE BALANCE",IF(I63&lt;Assumptions!$B$6,"CHECK LOW BALANCE","OK"))))))</f>
        <v/>
      </c>
    </row>
    <row r="64" ht="30" customHeight="1">
      <c r="A64" s="19" t="n"/>
      <c r="B64" s="19" t="n"/>
      <c r="C64" s="21" t="n"/>
      <c r="D64" s="22" t="n"/>
      <c r="E64" s="29" t="n"/>
      <c r="F64" s="19" t="n"/>
      <c r="G64" s="23">
        <f>IF(A64="","","lb")</f>
        <v/>
      </c>
      <c r="H64" s="24">
        <f>IF(A64="","",IFERROR(D64-SUMIFS('Usage Log'!$I$6:$I$105,'Usage Log'!$B$6:$B$105,A64,'Usage Log'!$Q$6:$Q$105,"&lt;&gt;Voided")+SUMIFS('Usage Log'!$K$6:$K$105,'Usage Log'!$B$6:$B$105,A64,'Usage Log'!$Q$6:$Q$105,"&lt;&gt;Voided"),""))</f>
        <v/>
      </c>
      <c r="I64" s="30">
        <f>IF(A64="","",IFERROR(H64/D64,""))</f>
        <v/>
      </c>
      <c r="J64" s="23">
        <f>IF(A64="","",IF(F64="Retired","RETIRED",IF(COUNT(D64)&lt;1,"CHECK OPENING QTY",IF(D64&lt;=0,"CHECK OPENING QTY",IF(H64&lt;0,"CHECK NEGATIVE BALANCE",IF(I64&lt;Assumptions!$B$6,"CHECK LOW BALANCE","OK"))))))</f>
        <v/>
      </c>
    </row>
    <row r="65" ht="30" customHeight="1">
      <c r="A65" s="19" t="n"/>
      <c r="B65" s="19" t="n"/>
      <c r="C65" s="21" t="n"/>
      <c r="D65" s="22" t="n"/>
      <c r="E65" s="29" t="n"/>
      <c r="F65" s="19" t="n"/>
      <c r="G65" s="26">
        <f>IF(A65="","","lb")</f>
        <v/>
      </c>
      <c r="H65" s="28">
        <f>IF(A65="","",IFERROR(D65-SUMIFS('Usage Log'!$I$6:$I$105,'Usage Log'!$B$6:$B$105,A65,'Usage Log'!$Q$6:$Q$105,"&lt;&gt;Voided")+SUMIFS('Usage Log'!$K$6:$K$105,'Usage Log'!$B$6:$B$105,A65,'Usage Log'!$Q$6:$Q$105,"&lt;&gt;Voided"),""))</f>
        <v/>
      </c>
      <c r="I65" s="31">
        <f>IF(A65="","",IFERROR(H65/D65,""))</f>
        <v/>
      </c>
      <c r="J65" s="26">
        <f>IF(A65="","",IF(F65="Retired","RETIRED",IF(COUNT(D65)&lt;1,"CHECK OPENING QTY",IF(D65&lt;=0,"CHECK OPENING QTY",IF(H65&lt;0,"CHECK NEGATIVE BALANCE",IF(I65&lt;Assumptions!$B$6,"CHECK LOW BALANCE","OK"))))))</f>
        <v/>
      </c>
    </row>
    <row r="66" ht="30" customHeight="1">
      <c r="A66" s="19" t="n"/>
      <c r="B66" s="19" t="n"/>
      <c r="C66" s="21" t="n"/>
      <c r="D66" s="22" t="n"/>
      <c r="E66" s="29" t="n"/>
      <c r="F66" s="19" t="n"/>
      <c r="G66" s="23">
        <f>IF(A66="","","lb")</f>
        <v/>
      </c>
      <c r="H66" s="24">
        <f>IF(A66="","",IFERROR(D66-SUMIFS('Usage Log'!$I$6:$I$105,'Usage Log'!$B$6:$B$105,A66,'Usage Log'!$Q$6:$Q$105,"&lt;&gt;Voided")+SUMIFS('Usage Log'!$K$6:$K$105,'Usage Log'!$B$6:$B$105,A66,'Usage Log'!$Q$6:$Q$105,"&lt;&gt;Voided"),""))</f>
        <v/>
      </c>
      <c r="I66" s="30">
        <f>IF(A66="","",IFERROR(H66/D66,""))</f>
        <v/>
      </c>
      <c r="J66" s="23">
        <f>IF(A66="","",IF(F66="Retired","RETIRED",IF(COUNT(D66)&lt;1,"CHECK OPENING QTY",IF(D66&lt;=0,"CHECK OPENING QTY",IF(H66&lt;0,"CHECK NEGATIVE BALANCE",IF(I66&lt;Assumptions!$B$6,"CHECK LOW BALANCE","OK"))))))</f>
        <v/>
      </c>
    </row>
    <row r="67" ht="30" customHeight="1">
      <c r="A67" s="19" t="n"/>
      <c r="B67" s="19" t="n"/>
      <c r="C67" s="21" t="n"/>
      <c r="D67" s="22" t="n"/>
      <c r="E67" s="29" t="n"/>
      <c r="F67" s="19" t="n"/>
      <c r="G67" s="26">
        <f>IF(A67="","","lb")</f>
        <v/>
      </c>
      <c r="H67" s="28">
        <f>IF(A67="","",IFERROR(D67-SUMIFS('Usage Log'!$I$6:$I$105,'Usage Log'!$B$6:$B$105,A67,'Usage Log'!$Q$6:$Q$105,"&lt;&gt;Voided")+SUMIFS('Usage Log'!$K$6:$K$105,'Usage Log'!$B$6:$B$105,A67,'Usage Log'!$Q$6:$Q$105,"&lt;&gt;Voided"),""))</f>
        <v/>
      </c>
      <c r="I67" s="31">
        <f>IF(A67="","",IFERROR(H67/D67,""))</f>
        <v/>
      </c>
      <c r="J67" s="26">
        <f>IF(A67="","",IF(F67="Retired","RETIRED",IF(COUNT(D67)&lt;1,"CHECK OPENING QTY",IF(D67&lt;=0,"CHECK OPENING QTY",IF(H67&lt;0,"CHECK NEGATIVE BALANCE",IF(I67&lt;Assumptions!$B$6,"CHECK LOW BALANCE","OK"))))))</f>
        <v/>
      </c>
    </row>
    <row r="68" ht="30" customHeight="1">
      <c r="A68" s="19" t="n"/>
      <c r="B68" s="19" t="n"/>
      <c r="C68" s="21" t="n"/>
      <c r="D68" s="22" t="n"/>
      <c r="E68" s="29" t="n"/>
      <c r="F68" s="19" t="n"/>
      <c r="G68" s="23">
        <f>IF(A68="","","lb")</f>
        <v/>
      </c>
      <c r="H68" s="24">
        <f>IF(A68="","",IFERROR(D68-SUMIFS('Usage Log'!$I$6:$I$105,'Usage Log'!$B$6:$B$105,A68,'Usage Log'!$Q$6:$Q$105,"&lt;&gt;Voided")+SUMIFS('Usage Log'!$K$6:$K$105,'Usage Log'!$B$6:$B$105,A68,'Usage Log'!$Q$6:$Q$105,"&lt;&gt;Voided"),""))</f>
        <v/>
      </c>
      <c r="I68" s="30">
        <f>IF(A68="","",IFERROR(H68/D68,""))</f>
        <v/>
      </c>
      <c r="J68" s="23">
        <f>IF(A68="","",IF(F68="Retired","RETIRED",IF(COUNT(D68)&lt;1,"CHECK OPENING QTY",IF(D68&lt;=0,"CHECK OPENING QTY",IF(H68&lt;0,"CHECK NEGATIVE BALANCE",IF(I68&lt;Assumptions!$B$6,"CHECK LOW BALANCE","OK"))))))</f>
        <v/>
      </c>
    </row>
    <row r="69" ht="30" customHeight="1">
      <c r="A69" s="19" t="n"/>
      <c r="B69" s="19" t="n"/>
      <c r="C69" s="21" t="n"/>
      <c r="D69" s="22" t="n"/>
      <c r="E69" s="29" t="n"/>
      <c r="F69" s="19" t="n"/>
      <c r="G69" s="26">
        <f>IF(A69="","","lb")</f>
        <v/>
      </c>
      <c r="H69" s="28">
        <f>IF(A69="","",IFERROR(D69-SUMIFS('Usage Log'!$I$6:$I$105,'Usage Log'!$B$6:$B$105,A69,'Usage Log'!$Q$6:$Q$105,"&lt;&gt;Voided")+SUMIFS('Usage Log'!$K$6:$K$105,'Usage Log'!$B$6:$B$105,A69,'Usage Log'!$Q$6:$Q$105,"&lt;&gt;Voided"),""))</f>
        <v/>
      </c>
      <c r="I69" s="31">
        <f>IF(A69="","",IFERROR(H69/D69,""))</f>
        <v/>
      </c>
      <c r="J69" s="26">
        <f>IF(A69="","",IF(F69="Retired","RETIRED",IF(COUNT(D69)&lt;1,"CHECK OPENING QTY",IF(D69&lt;=0,"CHECK OPENING QTY",IF(H69&lt;0,"CHECK NEGATIVE BALANCE",IF(I69&lt;Assumptions!$B$6,"CHECK LOW BALANCE","OK"))))))</f>
        <v/>
      </c>
    </row>
    <row r="70" ht="30" customHeight="1">
      <c r="A70" s="19" t="n"/>
      <c r="B70" s="19" t="n"/>
      <c r="C70" s="21" t="n"/>
      <c r="D70" s="22" t="n"/>
      <c r="E70" s="29" t="n"/>
      <c r="F70" s="19" t="n"/>
      <c r="G70" s="23">
        <f>IF(A70="","","lb")</f>
        <v/>
      </c>
      <c r="H70" s="24">
        <f>IF(A70="","",IFERROR(D70-SUMIFS('Usage Log'!$I$6:$I$105,'Usage Log'!$B$6:$B$105,A70,'Usage Log'!$Q$6:$Q$105,"&lt;&gt;Voided")+SUMIFS('Usage Log'!$K$6:$K$105,'Usage Log'!$B$6:$B$105,A70,'Usage Log'!$Q$6:$Q$105,"&lt;&gt;Voided"),""))</f>
        <v/>
      </c>
      <c r="I70" s="30">
        <f>IF(A70="","",IFERROR(H70/D70,""))</f>
        <v/>
      </c>
      <c r="J70" s="23">
        <f>IF(A70="","",IF(F70="Retired","RETIRED",IF(COUNT(D70)&lt;1,"CHECK OPENING QTY",IF(D70&lt;=0,"CHECK OPENING QTY",IF(H70&lt;0,"CHECK NEGATIVE BALANCE",IF(I70&lt;Assumptions!$B$6,"CHECK LOW BALANCE","OK"))))))</f>
        <v/>
      </c>
    </row>
    <row r="71" ht="30" customHeight="1">
      <c r="A71" s="19" t="n"/>
      <c r="B71" s="19" t="n"/>
      <c r="C71" s="21" t="n"/>
      <c r="D71" s="22" t="n"/>
      <c r="E71" s="29" t="n"/>
      <c r="F71" s="19" t="n"/>
      <c r="G71" s="26">
        <f>IF(A71="","","lb")</f>
        <v/>
      </c>
      <c r="H71" s="28">
        <f>IF(A71="","",IFERROR(D71-SUMIFS('Usage Log'!$I$6:$I$105,'Usage Log'!$B$6:$B$105,A71,'Usage Log'!$Q$6:$Q$105,"&lt;&gt;Voided")+SUMIFS('Usage Log'!$K$6:$K$105,'Usage Log'!$B$6:$B$105,A71,'Usage Log'!$Q$6:$Q$105,"&lt;&gt;Voided"),""))</f>
        <v/>
      </c>
      <c r="I71" s="31">
        <f>IF(A71="","",IFERROR(H71/D71,""))</f>
        <v/>
      </c>
      <c r="J71" s="26">
        <f>IF(A71="","",IF(F71="Retired","RETIRED",IF(COUNT(D71)&lt;1,"CHECK OPENING QTY",IF(D71&lt;=0,"CHECK OPENING QTY",IF(H71&lt;0,"CHECK NEGATIVE BALANCE",IF(I71&lt;Assumptions!$B$6,"CHECK LOW BALANCE","OK"))))))</f>
        <v/>
      </c>
    </row>
    <row r="72" ht="30" customHeight="1">
      <c r="A72" s="19" t="n"/>
      <c r="B72" s="19" t="n"/>
      <c r="C72" s="21" t="n"/>
      <c r="D72" s="22" t="n"/>
      <c r="E72" s="29" t="n"/>
      <c r="F72" s="19" t="n"/>
      <c r="G72" s="23">
        <f>IF(A72="","","lb")</f>
        <v/>
      </c>
      <c r="H72" s="24">
        <f>IF(A72="","",IFERROR(D72-SUMIFS('Usage Log'!$I$6:$I$105,'Usage Log'!$B$6:$B$105,A72,'Usage Log'!$Q$6:$Q$105,"&lt;&gt;Voided")+SUMIFS('Usage Log'!$K$6:$K$105,'Usage Log'!$B$6:$B$105,A72,'Usage Log'!$Q$6:$Q$105,"&lt;&gt;Voided"),""))</f>
        <v/>
      </c>
      <c r="I72" s="30">
        <f>IF(A72="","",IFERROR(H72/D72,""))</f>
        <v/>
      </c>
      <c r="J72" s="23">
        <f>IF(A72="","",IF(F72="Retired","RETIRED",IF(COUNT(D72)&lt;1,"CHECK OPENING QTY",IF(D72&lt;=0,"CHECK OPENING QTY",IF(H72&lt;0,"CHECK NEGATIVE BALANCE",IF(I72&lt;Assumptions!$B$6,"CHECK LOW BALANCE","OK"))))))</f>
        <v/>
      </c>
    </row>
    <row r="73" ht="30" customHeight="1">
      <c r="A73" s="19" t="n"/>
      <c r="B73" s="19" t="n"/>
      <c r="C73" s="21" t="n"/>
      <c r="D73" s="22" t="n"/>
      <c r="E73" s="29" t="n"/>
      <c r="F73" s="19" t="n"/>
      <c r="G73" s="26">
        <f>IF(A73="","","lb")</f>
        <v/>
      </c>
      <c r="H73" s="28">
        <f>IF(A73="","",IFERROR(D73-SUMIFS('Usage Log'!$I$6:$I$105,'Usage Log'!$B$6:$B$105,A73,'Usage Log'!$Q$6:$Q$105,"&lt;&gt;Voided")+SUMIFS('Usage Log'!$K$6:$K$105,'Usage Log'!$B$6:$B$105,A73,'Usage Log'!$Q$6:$Q$105,"&lt;&gt;Voided"),""))</f>
        <v/>
      </c>
      <c r="I73" s="31">
        <f>IF(A73="","",IFERROR(H73/D73,""))</f>
        <v/>
      </c>
      <c r="J73" s="26">
        <f>IF(A73="","",IF(F73="Retired","RETIRED",IF(COUNT(D73)&lt;1,"CHECK OPENING QTY",IF(D73&lt;=0,"CHECK OPENING QTY",IF(H73&lt;0,"CHECK NEGATIVE BALANCE",IF(I73&lt;Assumptions!$B$6,"CHECK LOW BALANCE","OK"))))))</f>
        <v/>
      </c>
    </row>
    <row r="74" ht="30" customHeight="1">
      <c r="A74" s="19" t="n"/>
      <c r="B74" s="19" t="n"/>
      <c r="C74" s="21" t="n"/>
      <c r="D74" s="22" t="n"/>
      <c r="E74" s="29" t="n"/>
      <c r="F74" s="19" t="n"/>
      <c r="G74" s="23">
        <f>IF(A74="","","lb")</f>
        <v/>
      </c>
      <c r="H74" s="24">
        <f>IF(A74="","",IFERROR(D74-SUMIFS('Usage Log'!$I$6:$I$105,'Usage Log'!$B$6:$B$105,A74,'Usage Log'!$Q$6:$Q$105,"&lt;&gt;Voided")+SUMIFS('Usage Log'!$K$6:$K$105,'Usage Log'!$B$6:$B$105,A74,'Usage Log'!$Q$6:$Q$105,"&lt;&gt;Voided"),""))</f>
        <v/>
      </c>
      <c r="I74" s="30">
        <f>IF(A74="","",IFERROR(H74/D74,""))</f>
        <v/>
      </c>
      <c r="J74" s="23">
        <f>IF(A74="","",IF(F74="Retired","RETIRED",IF(COUNT(D74)&lt;1,"CHECK OPENING QTY",IF(D74&lt;=0,"CHECK OPENING QTY",IF(H74&lt;0,"CHECK NEGATIVE BALANCE",IF(I74&lt;Assumptions!$B$6,"CHECK LOW BALANCE","OK"))))))</f>
        <v/>
      </c>
    </row>
    <row r="75" ht="30" customHeight="1">
      <c r="A75" s="19" t="n"/>
      <c r="B75" s="19" t="n"/>
      <c r="C75" s="21" t="n"/>
      <c r="D75" s="22" t="n"/>
      <c r="E75" s="29" t="n"/>
      <c r="F75" s="19" t="n"/>
      <c r="G75" s="26">
        <f>IF(A75="","","lb")</f>
        <v/>
      </c>
      <c r="H75" s="28">
        <f>IF(A75="","",IFERROR(D75-SUMIFS('Usage Log'!$I$6:$I$105,'Usage Log'!$B$6:$B$105,A75,'Usage Log'!$Q$6:$Q$105,"&lt;&gt;Voided")+SUMIFS('Usage Log'!$K$6:$K$105,'Usage Log'!$B$6:$B$105,A75,'Usage Log'!$Q$6:$Q$105,"&lt;&gt;Voided"),""))</f>
        <v/>
      </c>
      <c r="I75" s="31">
        <f>IF(A75="","",IFERROR(H75/D75,""))</f>
        <v/>
      </c>
      <c r="J75" s="26">
        <f>IF(A75="","",IF(F75="Retired","RETIRED",IF(COUNT(D75)&lt;1,"CHECK OPENING QTY",IF(D75&lt;=0,"CHECK OPENING QTY",IF(H75&lt;0,"CHECK NEGATIVE BALANCE",IF(I75&lt;Assumptions!$B$6,"CHECK LOW BALANCE","OK"))))))</f>
        <v/>
      </c>
    </row>
    <row r="76" ht="30" customHeight="1">
      <c r="A76" s="19" t="n"/>
      <c r="B76" s="19" t="n"/>
      <c r="C76" s="21" t="n"/>
      <c r="D76" s="22" t="n"/>
      <c r="E76" s="29" t="n"/>
      <c r="F76" s="19" t="n"/>
      <c r="G76" s="23">
        <f>IF(A76="","","lb")</f>
        <v/>
      </c>
      <c r="H76" s="24">
        <f>IF(A76="","",IFERROR(D76-SUMIFS('Usage Log'!$I$6:$I$105,'Usage Log'!$B$6:$B$105,A76,'Usage Log'!$Q$6:$Q$105,"&lt;&gt;Voided")+SUMIFS('Usage Log'!$K$6:$K$105,'Usage Log'!$B$6:$B$105,A76,'Usage Log'!$Q$6:$Q$105,"&lt;&gt;Voided"),""))</f>
        <v/>
      </c>
      <c r="I76" s="30">
        <f>IF(A76="","",IFERROR(H76/D76,""))</f>
        <v/>
      </c>
      <c r="J76" s="23">
        <f>IF(A76="","",IF(F76="Retired","RETIRED",IF(COUNT(D76)&lt;1,"CHECK OPENING QTY",IF(D76&lt;=0,"CHECK OPENING QTY",IF(H76&lt;0,"CHECK NEGATIVE BALANCE",IF(I76&lt;Assumptions!$B$6,"CHECK LOW BALANCE","OK"))))))</f>
        <v/>
      </c>
    </row>
    <row r="77" ht="30" customHeight="1">
      <c r="A77" s="19" t="n"/>
      <c r="B77" s="19" t="n"/>
      <c r="C77" s="21" t="n"/>
      <c r="D77" s="22" t="n"/>
      <c r="E77" s="29" t="n"/>
      <c r="F77" s="19" t="n"/>
      <c r="G77" s="26">
        <f>IF(A77="","","lb")</f>
        <v/>
      </c>
      <c r="H77" s="28">
        <f>IF(A77="","",IFERROR(D77-SUMIFS('Usage Log'!$I$6:$I$105,'Usage Log'!$B$6:$B$105,A77,'Usage Log'!$Q$6:$Q$105,"&lt;&gt;Voided")+SUMIFS('Usage Log'!$K$6:$K$105,'Usage Log'!$B$6:$B$105,A77,'Usage Log'!$Q$6:$Q$105,"&lt;&gt;Voided"),""))</f>
        <v/>
      </c>
      <c r="I77" s="31">
        <f>IF(A77="","",IFERROR(H77/D77,""))</f>
        <v/>
      </c>
      <c r="J77" s="26">
        <f>IF(A77="","",IF(F77="Retired","RETIRED",IF(COUNT(D77)&lt;1,"CHECK OPENING QTY",IF(D77&lt;=0,"CHECK OPENING QTY",IF(H77&lt;0,"CHECK NEGATIVE BALANCE",IF(I77&lt;Assumptions!$B$6,"CHECK LOW BALANCE","OK"))))))</f>
        <v/>
      </c>
    </row>
    <row r="78" ht="30" customHeight="1">
      <c r="A78" s="19" t="n"/>
      <c r="B78" s="19" t="n"/>
      <c r="C78" s="21" t="n"/>
      <c r="D78" s="22" t="n"/>
      <c r="E78" s="29" t="n"/>
      <c r="F78" s="19" t="n"/>
      <c r="G78" s="23">
        <f>IF(A78="","","lb")</f>
        <v/>
      </c>
      <c r="H78" s="24">
        <f>IF(A78="","",IFERROR(D78-SUMIFS('Usage Log'!$I$6:$I$105,'Usage Log'!$B$6:$B$105,A78,'Usage Log'!$Q$6:$Q$105,"&lt;&gt;Voided")+SUMIFS('Usage Log'!$K$6:$K$105,'Usage Log'!$B$6:$B$105,A78,'Usage Log'!$Q$6:$Q$105,"&lt;&gt;Voided"),""))</f>
        <v/>
      </c>
      <c r="I78" s="30">
        <f>IF(A78="","",IFERROR(H78/D78,""))</f>
        <v/>
      </c>
      <c r="J78" s="23">
        <f>IF(A78="","",IF(F78="Retired","RETIRED",IF(COUNT(D78)&lt;1,"CHECK OPENING QTY",IF(D78&lt;=0,"CHECK OPENING QTY",IF(H78&lt;0,"CHECK NEGATIVE BALANCE",IF(I78&lt;Assumptions!$B$6,"CHECK LOW BALANCE","OK"))))))</f>
        <v/>
      </c>
    </row>
    <row r="79" ht="30" customHeight="1">
      <c r="A79" s="19" t="n"/>
      <c r="B79" s="19" t="n"/>
      <c r="C79" s="21" t="n"/>
      <c r="D79" s="22" t="n"/>
      <c r="E79" s="29" t="n"/>
      <c r="F79" s="19" t="n"/>
      <c r="G79" s="26">
        <f>IF(A79="","","lb")</f>
        <v/>
      </c>
      <c r="H79" s="28">
        <f>IF(A79="","",IFERROR(D79-SUMIFS('Usage Log'!$I$6:$I$105,'Usage Log'!$B$6:$B$105,A79,'Usage Log'!$Q$6:$Q$105,"&lt;&gt;Voided")+SUMIFS('Usage Log'!$K$6:$K$105,'Usage Log'!$B$6:$B$105,A79,'Usage Log'!$Q$6:$Q$105,"&lt;&gt;Voided"),""))</f>
        <v/>
      </c>
      <c r="I79" s="31">
        <f>IF(A79="","",IFERROR(H79/D79,""))</f>
        <v/>
      </c>
      <c r="J79" s="26">
        <f>IF(A79="","",IF(F79="Retired","RETIRED",IF(COUNT(D79)&lt;1,"CHECK OPENING QTY",IF(D79&lt;=0,"CHECK OPENING QTY",IF(H79&lt;0,"CHECK NEGATIVE BALANCE",IF(I79&lt;Assumptions!$B$6,"CHECK LOW BALANCE","OK"))))))</f>
        <v/>
      </c>
    </row>
    <row r="80" ht="30" customHeight="1">
      <c r="A80" s="19" t="n"/>
      <c r="B80" s="19" t="n"/>
      <c r="C80" s="21" t="n"/>
      <c r="D80" s="22" t="n"/>
      <c r="E80" s="29" t="n"/>
      <c r="F80" s="19" t="n"/>
      <c r="G80" s="23">
        <f>IF(A80="","","lb")</f>
        <v/>
      </c>
      <c r="H80" s="24">
        <f>IF(A80="","",IFERROR(D80-SUMIFS('Usage Log'!$I$6:$I$105,'Usage Log'!$B$6:$B$105,A80,'Usage Log'!$Q$6:$Q$105,"&lt;&gt;Voided")+SUMIFS('Usage Log'!$K$6:$K$105,'Usage Log'!$B$6:$B$105,A80,'Usage Log'!$Q$6:$Q$105,"&lt;&gt;Voided"),""))</f>
        <v/>
      </c>
      <c r="I80" s="30">
        <f>IF(A80="","",IFERROR(H80/D80,""))</f>
        <v/>
      </c>
      <c r="J80" s="23">
        <f>IF(A80="","",IF(F80="Retired","RETIRED",IF(COUNT(D80)&lt;1,"CHECK OPENING QTY",IF(D80&lt;=0,"CHECK OPENING QTY",IF(H80&lt;0,"CHECK NEGATIVE BALANCE",IF(I80&lt;Assumptions!$B$6,"CHECK LOW BALANCE","OK"))))))</f>
        <v/>
      </c>
    </row>
    <row r="81" ht="30" customHeight="1">
      <c r="A81" s="19" t="n"/>
      <c r="B81" s="19" t="n"/>
      <c r="C81" s="21" t="n"/>
      <c r="D81" s="22" t="n"/>
      <c r="E81" s="29" t="n"/>
      <c r="F81" s="19" t="n"/>
      <c r="G81" s="26">
        <f>IF(A81="","","lb")</f>
        <v/>
      </c>
      <c r="H81" s="28">
        <f>IF(A81="","",IFERROR(D81-SUMIFS('Usage Log'!$I$6:$I$105,'Usage Log'!$B$6:$B$105,A81,'Usage Log'!$Q$6:$Q$105,"&lt;&gt;Voided")+SUMIFS('Usage Log'!$K$6:$K$105,'Usage Log'!$B$6:$B$105,A81,'Usage Log'!$Q$6:$Q$105,"&lt;&gt;Voided"),""))</f>
        <v/>
      </c>
      <c r="I81" s="31">
        <f>IF(A81="","",IFERROR(H81/D81,""))</f>
        <v/>
      </c>
      <c r="J81" s="26">
        <f>IF(A81="","",IF(F81="Retired","RETIRED",IF(COUNT(D81)&lt;1,"CHECK OPENING QTY",IF(D81&lt;=0,"CHECK OPENING QTY",IF(H81&lt;0,"CHECK NEGATIVE BALANCE",IF(I81&lt;Assumptions!$B$6,"CHECK LOW BALANCE","OK"))))))</f>
        <v/>
      </c>
    </row>
    <row r="82" ht="30" customHeight="1">
      <c r="A82" s="19" t="n"/>
      <c r="B82" s="19" t="n"/>
      <c r="C82" s="21" t="n"/>
      <c r="D82" s="22" t="n"/>
      <c r="E82" s="29" t="n"/>
      <c r="F82" s="19" t="n"/>
      <c r="G82" s="23">
        <f>IF(A82="","","lb")</f>
        <v/>
      </c>
      <c r="H82" s="24">
        <f>IF(A82="","",IFERROR(D82-SUMIFS('Usage Log'!$I$6:$I$105,'Usage Log'!$B$6:$B$105,A82,'Usage Log'!$Q$6:$Q$105,"&lt;&gt;Voided")+SUMIFS('Usage Log'!$K$6:$K$105,'Usage Log'!$B$6:$B$105,A82,'Usage Log'!$Q$6:$Q$105,"&lt;&gt;Voided"),""))</f>
        <v/>
      </c>
      <c r="I82" s="30">
        <f>IF(A82="","",IFERROR(H82/D82,""))</f>
        <v/>
      </c>
      <c r="J82" s="23">
        <f>IF(A82="","",IF(F82="Retired","RETIRED",IF(COUNT(D82)&lt;1,"CHECK OPENING QTY",IF(D82&lt;=0,"CHECK OPENING QTY",IF(H82&lt;0,"CHECK NEGATIVE BALANCE",IF(I82&lt;Assumptions!$B$6,"CHECK LOW BALANCE","OK"))))))</f>
        <v/>
      </c>
    </row>
    <row r="83" ht="30" customHeight="1">
      <c r="A83" s="19" t="n"/>
      <c r="B83" s="19" t="n"/>
      <c r="C83" s="21" t="n"/>
      <c r="D83" s="22" t="n"/>
      <c r="E83" s="29" t="n"/>
      <c r="F83" s="19" t="n"/>
      <c r="G83" s="26">
        <f>IF(A83="","","lb")</f>
        <v/>
      </c>
      <c r="H83" s="28">
        <f>IF(A83="","",IFERROR(D83-SUMIFS('Usage Log'!$I$6:$I$105,'Usage Log'!$B$6:$B$105,A83,'Usage Log'!$Q$6:$Q$105,"&lt;&gt;Voided")+SUMIFS('Usage Log'!$K$6:$K$105,'Usage Log'!$B$6:$B$105,A83,'Usage Log'!$Q$6:$Q$105,"&lt;&gt;Voided"),""))</f>
        <v/>
      </c>
      <c r="I83" s="31">
        <f>IF(A83="","",IFERROR(H83/D83,""))</f>
        <v/>
      </c>
      <c r="J83" s="26">
        <f>IF(A83="","",IF(F83="Retired","RETIRED",IF(COUNT(D83)&lt;1,"CHECK OPENING QTY",IF(D83&lt;=0,"CHECK OPENING QTY",IF(H83&lt;0,"CHECK NEGATIVE BALANCE",IF(I83&lt;Assumptions!$B$6,"CHECK LOW BALANCE","OK"))))))</f>
        <v/>
      </c>
    </row>
    <row r="84" ht="30" customHeight="1">
      <c r="A84" s="19" t="n"/>
      <c r="B84" s="19" t="n"/>
      <c r="C84" s="21" t="n"/>
      <c r="D84" s="22" t="n"/>
      <c r="E84" s="29" t="n"/>
      <c r="F84" s="19" t="n"/>
      <c r="G84" s="23">
        <f>IF(A84="","","lb")</f>
        <v/>
      </c>
      <c r="H84" s="24">
        <f>IF(A84="","",IFERROR(D84-SUMIFS('Usage Log'!$I$6:$I$105,'Usage Log'!$B$6:$B$105,A84,'Usage Log'!$Q$6:$Q$105,"&lt;&gt;Voided")+SUMIFS('Usage Log'!$K$6:$K$105,'Usage Log'!$B$6:$B$105,A84,'Usage Log'!$Q$6:$Q$105,"&lt;&gt;Voided"),""))</f>
        <v/>
      </c>
      <c r="I84" s="30">
        <f>IF(A84="","",IFERROR(H84/D84,""))</f>
        <v/>
      </c>
      <c r="J84" s="23">
        <f>IF(A84="","",IF(F84="Retired","RETIRED",IF(COUNT(D84)&lt;1,"CHECK OPENING QTY",IF(D84&lt;=0,"CHECK OPENING QTY",IF(H84&lt;0,"CHECK NEGATIVE BALANCE",IF(I84&lt;Assumptions!$B$6,"CHECK LOW BALANCE","OK"))))))</f>
        <v/>
      </c>
    </row>
    <row r="85" ht="30" customHeight="1">
      <c r="A85" s="19" t="n"/>
      <c r="B85" s="19" t="n"/>
      <c r="C85" s="21" t="n"/>
      <c r="D85" s="22" t="n"/>
      <c r="E85" s="29" t="n"/>
      <c r="F85" s="19" t="n"/>
      <c r="G85" s="26">
        <f>IF(A85="","","lb")</f>
        <v/>
      </c>
      <c r="H85" s="28">
        <f>IF(A85="","",IFERROR(D85-SUMIFS('Usage Log'!$I$6:$I$105,'Usage Log'!$B$6:$B$105,A85,'Usage Log'!$Q$6:$Q$105,"&lt;&gt;Voided")+SUMIFS('Usage Log'!$K$6:$K$105,'Usage Log'!$B$6:$B$105,A85,'Usage Log'!$Q$6:$Q$105,"&lt;&gt;Voided"),""))</f>
        <v/>
      </c>
      <c r="I85" s="31">
        <f>IF(A85="","",IFERROR(H85/D85,""))</f>
        <v/>
      </c>
      <c r="J85" s="26">
        <f>IF(A85="","",IF(F85="Retired","RETIRED",IF(COUNT(D85)&lt;1,"CHECK OPENING QTY",IF(D85&lt;=0,"CHECK OPENING QTY",IF(H85&lt;0,"CHECK NEGATIVE BALANCE",IF(I85&lt;Assumptions!$B$6,"CHECK LOW BALANCE","OK"))))))</f>
        <v/>
      </c>
    </row>
    <row r="86" ht="30" customHeight="1">
      <c r="A86" s="19" t="n"/>
      <c r="B86" s="19" t="n"/>
      <c r="C86" s="21" t="n"/>
      <c r="D86" s="22" t="n"/>
      <c r="E86" s="29" t="n"/>
      <c r="F86" s="19" t="n"/>
      <c r="G86" s="23">
        <f>IF(A86="","","lb")</f>
        <v/>
      </c>
      <c r="H86" s="24">
        <f>IF(A86="","",IFERROR(D86-SUMIFS('Usage Log'!$I$6:$I$105,'Usage Log'!$B$6:$B$105,A86,'Usage Log'!$Q$6:$Q$105,"&lt;&gt;Voided")+SUMIFS('Usage Log'!$K$6:$K$105,'Usage Log'!$B$6:$B$105,A86,'Usage Log'!$Q$6:$Q$105,"&lt;&gt;Voided"),""))</f>
        <v/>
      </c>
      <c r="I86" s="30">
        <f>IF(A86="","",IFERROR(H86/D86,""))</f>
        <v/>
      </c>
      <c r="J86" s="23">
        <f>IF(A86="","",IF(F86="Retired","RETIRED",IF(COUNT(D86)&lt;1,"CHECK OPENING QTY",IF(D86&lt;=0,"CHECK OPENING QTY",IF(H86&lt;0,"CHECK NEGATIVE BALANCE",IF(I86&lt;Assumptions!$B$6,"CHECK LOW BALANCE","OK"))))))</f>
        <v/>
      </c>
    </row>
    <row r="87" ht="30" customHeight="1">
      <c r="A87" s="19" t="n"/>
      <c r="B87" s="19" t="n"/>
      <c r="C87" s="21" t="n"/>
      <c r="D87" s="22" t="n"/>
      <c r="E87" s="29" t="n"/>
      <c r="F87" s="19" t="n"/>
      <c r="G87" s="26">
        <f>IF(A87="","","lb")</f>
        <v/>
      </c>
      <c r="H87" s="28">
        <f>IF(A87="","",IFERROR(D87-SUMIFS('Usage Log'!$I$6:$I$105,'Usage Log'!$B$6:$B$105,A87,'Usage Log'!$Q$6:$Q$105,"&lt;&gt;Voided")+SUMIFS('Usage Log'!$K$6:$K$105,'Usage Log'!$B$6:$B$105,A87,'Usage Log'!$Q$6:$Q$105,"&lt;&gt;Voided"),""))</f>
        <v/>
      </c>
      <c r="I87" s="31">
        <f>IF(A87="","",IFERROR(H87/D87,""))</f>
        <v/>
      </c>
      <c r="J87" s="26">
        <f>IF(A87="","",IF(F87="Retired","RETIRED",IF(COUNT(D87)&lt;1,"CHECK OPENING QTY",IF(D87&lt;=0,"CHECK OPENING QTY",IF(H87&lt;0,"CHECK NEGATIVE BALANCE",IF(I87&lt;Assumptions!$B$6,"CHECK LOW BALANCE","OK"))))))</f>
        <v/>
      </c>
    </row>
    <row r="88" ht="30" customHeight="1">
      <c r="A88" s="19" t="n"/>
      <c r="B88" s="19" t="n"/>
      <c r="C88" s="21" t="n"/>
      <c r="D88" s="22" t="n"/>
      <c r="E88" s="29" t="n"/>
      <c r="F88" s="19" t="n"/>
      <c r="G88" s="23">
        <f>IF(A88="","","lb")</f>
        <v/>
      </c>
      <c r="H88" s="24">
        <f>IF(A88="","",IFERROR(D88-SUMIFS('Usage Log'!$I$6:$I$105,'Usage Log'!$B$6:$B$105,A88,'Usage Log'!$Q$6:$Q$105,"&lt;&gt;Voided")+SUMIFS('Usage Log'!$K$6:$K$105,'Usage Log'!$B$6:$B$105,A88,'Usage Log'!$Q$6:$Q$105,"&lt;&gt;Voided"),""))</f>
        <v/>
      </c>
      <c r="I88" s="30">
        <f>IF(A88="","",IFERROR(H88/D88,""))</f>
        <v/>
      </c>
      <c r="J88" s="23">
        <f>IF(A88="","",IF(F88="Retired","RETIRED",IF(COUNT(D88)&lt;1,"CHECK OPENING QTY",IF(D88&lt;=0,"CHECK OPENING QTY",IF(H88&lt;0,"CHECK NEGATIVE BALANCE",IF(I88&lt;Assumptions!$B$6,"CHECK LOW BALANCE","OK"))))))</f>
        <v/>
      </c>
    </row>
    <row r="89" ht="30" customHeight="1">
      <c r="A89" s="19" t="n"/>
      <c r="B89" s="19" t="n"/>
      <c r="C89" s="21" t="n"/>
      <c r="D89" s="22" t="n"/>
      <c r="E89" s="29" t="n"/>
      <c r="F89" s="19" t="n"/>
      <c r="G89" s="26">
        <f>IF(A89="","","lb")</f>
        <v/>
      </c>
      <c r="H89" s="28">
        <f>IF(A89="","",IFERROR(D89-SUMIFS('Usage Log'!$I$6:$I$105,'Usage Log'!$B$6:$B$105,A89,'Usage Log'!$Q$6:$Q$105,"&lt;&gt;Voided")+SUMIFS('Usage Log'!$K$6:$K$105,'Usage Log'!$B$6:$B$105,A89,'Usage Log'!$Q$6:$Q$105,"&lt;&gt;Voided"),""))</f>
        <v/>
      </c>
      <c r="I89" s="31">
        <f>IF(A89="","",IFERROR(H89/D89,""))</f>
        <v/>
      </c>
      <c r="J89" s="26">
        <f>IF(A89="","",IF(F89="Retired","RETIRED",IF(COUNT(D89)&lt;1,"CHECK OPENING QTY",IF(D89&lt;=0,"CHECK OPENING QTY",IF(H89&lt;0,"CHECK NEGATIVE BALANCE",IF(I89&lt;Assumptions!$B$6,"CHECK LOW BALANCE","OK"))))))</f>
        <v/>
      </c>
    </row>
    <row r="90" ht="30" customHeight="1">
      <c r="A90" s="19" t="n"/>
      <c r="B90" s="19" t="n"/>
      <c r="C90" s="21" t="n"/>
      <c r="D90" s="22" t="n"/>
      <c r="E90" s="29" t="n"/>
      <c r="F90" s="19" t="n"/>
      <c r="G90" s="23">
        <f>IF(A90="","","lb")</f>
        <v/>
      </c>
      <c r="H90" s="24">
        <f>IF(A90="","",IFERROR(D90-SUMIFS('Usage Log'!$I$6:$I$105,'Usage Log'!$B$6:$B$105,A90,'Usage Log'!$Q$6:$Q$105,"&lt;&gt;Voided")+SUMIFS('Usage Log'!$K$6:$K$105,'Usage Log'!$B$6:$B$105,A90,'Usage Log'!$Q$6:$Q$105,"&lt;&gt;Voided"),""))</f>
        <v/>
      </c>
      <c r="I90" s="30">
        <f>IF(A90="","",IFERROR(H90/D90,""))</f>
        <v/>
      </c>
      <c r="J90" s="23">
        <f>IF(A90="","",IF(F90="Retired","RETIRED",IF(COUNT(D90)&lt;1,"CHECK OPENING QTY",IF(D90&lt;=0,"CHECK OPENING QTY",IF(H90&lt;0,"CHECK NEGATIVE BALANCE",IF(I90&lt;Assumptions!$B$6,"CHECK LOW BALANCE","OK"))))))</f>
        <v/>
      </c>
    </row>
    <row r="91" ht="30" customHeight="1">
      <c r="A91" s="19" t="n"/>
      <c r="B91" s="19" t="n"/>
      <c r="C91" s="21" t="n"/>
      <c r="D91" s="22" t="n"/>
      <c r="E91" s="29" t="n"/>
      <c r="F91" s="19" t="n"/>
      <c r="G91" s="26">
        <f>IF(A91="","","lb")</f>
        <v/>
      </c>
      <c r="H91" s="28">
        <f>IF(A91="","",IFERROR(D91-SUMIFS('Usage Log'!$I$6:$I$105,'Usage Log'!$B$6:$B$105,A91,'Usage Log'!$Q$6:$Q$105,"&lt;&gt;Voided")+SUMIFS('Usage Log'!$K$6:$K$105,'Usage Log'!$B$6:$B$105,A91,'Usage Log'!$Q$6:$Q$105,"&lt;&gt;Voided"),""))</f>
        <v/>
      </c>
      <c r="I91" s="31">
        <f>IF(A91="","",IFERROR(H91/D91,""))</f>
        <v/>
      </c>
      <c r="J91" s="26">
        <f>IF(A91="","",IF(F91="Retired","RETIRED",IF(COUNT(D91)&lt;1,"CHECK OPENING QTY",IF(D91&lt;=0,"CHECK OPENING QTY",IF(H91&lt;0,"CHECK NEGATIVE BALANCE",IF(I91&lt;Assumptions!$B$6,"CHECK LOW BALANCE","OK"))))))</f>
        <v/>
      </c>
    </row>
    <row r="92" ht="30" customHeight="1">
      <c r="A92" s="19" t="n"/>
      <c r="B92" s="19" t="n"/>
      <c r="C92" s="21" t="n"/>
      <c r="D92" s="22" t="n"/>
      <c r="E92" s="29" t="n"/>
      <c r="F92" s="19" t="n"/>
      <c r="G92" s="23">
        <f>IF(A92="","","lb")</f>
        <v/>
      </c>
      <c r="H92" s="24">
        <f>IF(A92="","",IFERROR(D92-SUMIFS('Usage Log'!$I$6:$I$105,'Usage Log'!$B$6:$B$105,A92,'Usage Log'!$Q$6:$Q$105,"&lt;&gt;Voided")+SUMIFS('Usage Log'!$K$6:$K$105,'Usage Log'!$B$6:$B$105,A92,'Usage Log'!$Q$6:$Q$105,"&lt;&gt;Voided"),""))</f>
        <v/>
      </c>
      <c r="I92" s="30">
        <f>IF(A92="","",IFERROR(H92/D92,""))</f>
        <v/>
      </c>
      <c r="J92" s="23">
        <f>IF(A92="","",IF(F92="Retired","RETIRED",IF(COUNT(D92)&lt;1,"CHECK OPENING QTY",IF(D92&lt;=0,"CHECK OPENING QTY",IF(H92&lt;0,"CHECK NEGATIVE BALANCE",IF(I92&lt;Assumptions!$B$6,"CHECK LOW BALANCE","OK"))))))</f>
        <v/>
      </c>
    </row>
    <row r="93" ht="30" customHeight="1">
      <c r="A93" s="19" t="n"/>
      <c r="B93" s="19" t="n"/>
      <c r="C93" s="21" t="n"/>
      <c r="D93" s="22" t="n"/>
      <c r="E93" s="29" t="n"/>
      <c r="F93" s="19" t="n"/>
      <c r="G93" s="26">
        <f>IF(A93="","","lb")</f>
        <v/>
      </c>
      <c r="H93" s="28">
        <f>IF(A93="","",IFERROR(D93-SUMIFS('Usage Log'!$I$6:$I$105,'Usage Log'!$B$6:$B$105,A93,'Usage Log'!$Q$6:$Q$105,"&lt;&gt;Voided")+SUMIFS('Usage Log'!$K$6:$K$105,'Usage Log'!$B$6:$B$105,A93,'Usage Log'!$Q$6:$Q$105,"&lt;&gt;Voided"),""))</f>
        <v/>
      </c>
      <c r="I93" s="31">
        <f>IF(A93="","",IFERROR(H93/D93,""))</f>
        <v/>
      </c>
      <c r="J93" s="26">
        <f>IF(A93="","",IF(F93="Retired","RETIRED",IF(COUNT(D93)&lt;1,"CHECK OPENING QTY",IF(D93&lt;=0,"CHECK OPENING QTY",IF(H93&lt;0,"CHECK NEGATIVE BALANCE",IF(I93&lt;Assumptions!$B$6,"CHECK LOW BALANCE","OK"))))))</f>
        <v/>
      </c>
    </row>
    <row r="94" ht="30" customHeight="1">
      <c r="A94" s="19" t="n"/>
      <c r="B94" s="19" t="n"/>
      <c r="C94" s="21" t="n"/>
      <c r="D94" s="22" t="n"/>
      <c r="E94" s="29" t="n"/>
      <c r="F94" s="19" t="n"/>
      <c r="G94" s="23">
        <f>IF(A94="","","lb")</f>
        <v/>
      </c>
      <c r="H94" s="24">
        <f>IF(A94="","",IFERROR(D94-SUMIFS('Usage Log'!$I$6:$I$105,'Usage Log'!$B$6:$B$105,A94,'Usage Log'!$Q$6:$Q$105,"&lt;&gt;Voided")+SUMIFS('Usage Log'!$K$6:$K$105,'Usage Log'!$B$6:$B$105,A94,'Usage Log'!$Q$6:$Q$105,"&lt;&gt;Voided"),""))</f>
        <v/>
      </c>
      <c r="I94" s="30">
        <f>IF(A94="","",IFERROR(H94/D94,""))</f>
        <v/>
      </c>
      <c r="J94" s="23">
        <f>IF(A94="","",IF(F94="Retired","RETIRED",IF(COUNT(D94)&lt;1,"CHECK OPENING QTY",IF(D94&lt;=0,"CHECK OPENING QTY",IF(H94&lt;0,"CHECK NEGATIVE BALANCE",IF(I94&lt;Assumptions!$B$6,"CHECK LOW BALANCE","OK"))))))</f>
        <v/>
      </c>
    </row>
    <row r="95" ht="30" customHeight="1">
      <c r="A95" s="19" t="n"/>
      <c r="B95" s="19" t="n"/>
      <c r="C95" s="21" t="n"/>
      <c r="D95" s="22" t="n"/>
      <c r="E95" s="29" t="n"/>
      <c r="F95" s="19" t="n"/>
      <c r="G95" s="26">
        <f>IF(A95="","","lb")</f>
        <v/>
      </c>
      <c r="H95" s="28">
        <f>IF(A95="","",IFERROR(D95-SUMIFS('Usage Log'!$I$6:$I$105,'Usage Log'!$B$6:$B$105,A95,'Usage Log'!$Q$6:$Q$105,"&lt;&gt;Voided")+SUMIFS('Usage Log'!$K$6:$K$105,'Usage Log'!$B$6:$B$105,A95,'Usage Log'!$Q$6:$Q$105,"&lt;&gt;Voided"),""))</f>
        <v/>
      </c>
      <c r="I95" s="31">
        <f>IF(A95="","",IFERROR(H95/D95,""))</f>
        <v/>
      </c>
      <c r="J95" s="26">
        <f>IF(A95="","",IF(F95="Retired","RETIRED",IF(COUNT(D95)&lt;1,"CHECK OPENING QTY",IF(D95&lt;=0,"CHECK OPENING QTY",IF(H95&lt;0,"CHECK NEGATIVE BALANCE",IF(I95&lt;Assumptions!$B$6,"CHECK LOW BALANCE","OK"))))))</f>
        <v/>
      </c>
    </row>
    <row r="96" ht="30" customHeight="1">
      <c r="A96" s="19" t="n"/>
      <c r="B96" s="19" t="n"/>
      <c r="C96" s="21" t="n"/>
      <c r="D96" s="22" t="n"/>
      <c r="E96" s="29" t="n"/>
      <c r="F96" s="19" t="n"/>
      <c r="G96" s="23">
        <f>IF(A96="","","lb")</f>
        <v/>
      </c>
      <c r="H96" s="24">
        <f>IF(A96="","",IFERROR(D96-SUMIFS('Usage Log'!$I$6:$I$105,'Usage Log'!$B$6:$B$105,A96,'Usage Log'!$Q$6:$Q$105,"&lt;&gt;Voided")+SUMIFS('Usage Log'!$K$6:$K$105,'Usage Log'!$B$6:$B$105,A96,'Usage Log'!$Q$6:$Q$105,"&lt;&gt;Voided"),""))</f>
        <v/>
      </c>
      <c r="I96" s="30">
        <f>IF(A96="","",IFERROR(H96/D96,""))</f>
        <v/>
      </c>
      <c r="J96" s="23">
        <f>IF(A96="","",IF(F96="Retired","RETIRED",IF(COUNT(D96)&lt;1,"CHECK OPENING QTY",IF(D96&lt;=0,"CHECK OPENING QTY",IF(H96&lt;0,"CHECK NEGATIVE BALANCE",IF(I96&lt;Assumptions!$B$6,"CHECK LOW BALANCE","OK"))))))</f>
        <v/>
      </c>
    </row>
    <row r="97" ht="30" customHeight="1">
      <c r="A97" s="19" t="n"/>
      <c r="B97" s="19" t="n"/>
      <c r="C97" s="21" t="n"/>
      <c r="D97" s="22" t="n"/>
      <c r="E97" s="29" t="n"/>
      <c r="F97" s="19" t="n"/>
      <c r="G97" s="26">
        <f>IF(A97="","","lb")</f>
        <v/>
      </c>
      <c r="H97" s="28">
        <f>IF(A97="","",IFERROR(D97-SUMIFS('Usage Log'!$I$6:$I$105,'Usage Log'!$B$6:$B$105,A97,'Usage Log'!$Q$6:$Q$105,"&lt;&gt;Voided")+SUMIFS('Usage Log'!$K$6:$K$105,'Usage Log'!$B$6:$B$105,A97,'Usage Log'!$Q$6:$Q$105,"&lt;&gt;Voided"),""))</f>
        <v/>
      </c>
      <c r="I97" s="31">
        <f>IF(A97="","",IFERROR(H97/D97,""))</f>
        <v/>
      </c>
      <c r="J97" s="26">
        <f>IF(A97="","",IF(F97="Retired","RETIRED",IF(COUNT(D97)&lt;1,"CHECK OPENING QTY",IF(D97&lt;=0,"CHECK OPENING QTY",IF(H97&lt;0,"CHECK NEGATIVE BALANCE",IF(I97&lt;Assumptions!$B$6,"CHECK LOW BALANCE","OK"))))))</f>
        <v/>
      </c>
    </row>
    <row r="98" ht="30" customHeight="1">
      <c r="A98" s="19" t="n"/>
      <c r="B98" s="19" t="n"/>
      <c r="C98" s="21" t="n"/>
      <c r="D98" s="22" t="n"/>
      <c r="E98" s="29" t="n"/>
      <c r="F98" s="19" t="n"/>
      <c r="G98" s="23">
        <f>IF(A98="","","lb")</f>
        <v/>
      </c>
      <c r="H98" s="24">
        <f>IF(A98="","",IFERROR(D98-SUMIFS('Usage Log'!$I$6:$I$105,'Usage Log'!$B$6:$B$105,A98,'Usage Log'!$Q$6:$Q$105,"&lt;&gt;Voided")+SUMIFS('Usage Log'!$K$6:$K$105,'Usage Log'!$B$6:$B$105,A98,'Usage Log'!$Q$6:$Q$105,"&lt;&gt;Voided"),""))</f>
        <v/>
      </c>
      <c r="I98" s="30">
        <f>IF(A98="","",IFERROR(H98/D98,""))</f>
        <v/>
      </c>
      <c r="J98" s="23">
        <f>IF(A98="","",IF(F98="Retired","RETIRED",IF(COUNT(D98)&lt;1,"CHECK OPENING QTY",IF(D98&lt;=0,"CHECK OPENING QTY",IF(H98&lt;0,"CHECK NEGATIVE BALANCE",IF(I98&lt;Assumptions!$B$6,"CHECK LOW BALANCE","OK"))))))</f>
        <v/>
      </c>
    </row>
    <row r="99" ht="30" customHeight="1">
      <c r="A99" s="19" t="n"/>
      <c r="B99" s="19" t="n"/>
      <c r="C99" s="21" t="n"/>
      <c r="D99" s="22" t="n"/>
      <c r="E99" s="29" t="n"/>
      <c r="F99" s="19" t="n"/>
      <c r="G99" s="26">
        <f>IF(A99="","","lb")</f>
        <v/>
      </c>
      <c r="H99" s="28">
        <f>IF(A99="","",IFERROR(D99-SUMIFS('Usage Log'!$I$6:$I$105,'Usage Log'!$B$6:$B$105,A99,'Usage Log'!$Q$6:$Q$105,"&lt;&gt;Voided")+SUMIFS('Usage Log'!$K$6:$K$105,'Usage Log'!$B$6:$B$105,A99,'Usage Log'!$Q$6:$Q$105,"&lt;&gt;Voided"),""))</f>
        <v/>
      </c>
      <c r="I99" s="31">
        <f>IF(A99="","",IFERROR(H99/D99,""))</f>
        <v/>
      </c>
      <c r="J99" s="26">
        <f>IF(A99="","",IF(F99="Retired","RETIRED",IF(COUNT(D99)&lt;1,"CHECK OPENING QTY",IF(D99&lt;=0,"CHECK OPENING QTY",IF(H99&lt;0,"CHECK NEGATIVE BALANCE",IF(I99&lt;Assumptions!$B$6,"CHECK LOW BALANCE","OK"))))))</f>
        <v/>
      </c>
    </row>
    <row r="100" ht="30" customHeight="1">
      <c r="A100" s="19" t="n"/>
      <c r="B100" s="19" t="n"/>
      <c r="C100" s="21" t="n"/>
      <c r="D100" s="22" t="n"/>
      <c r="E100" s="29" t="n"/>
      <c r="F100" s="19" t="n"/>
      <c r="G100" s="23">
        <f>IF(A100="","","lb")</f>
        <v/>
      </c>
      <c r="H100" s="24">
        <f>IF(A100="","",IFERROR(D100-SUMIFS('Usage Log'!$I$6:$I$105,'Usage Log'!$B$6:$B$105,A100,'Usage Log'!$Q$6:$Q$105,"&lt;&gt;Voided")+SUMIFS('Usage Log'!$K$6:$K$105,'Usage Log'!$B$6:$B$105,A100,'Usage Log'!$Q$6:$Q$105,"&lt;&gt;Voided"),""))</f>
        <v/>
      </c>
      <c r="I100" s="30">
        <f>IF(A100="","",IFERROR(H100/D100,""))</f>
        <v/>
      </c>
      <c r="J100" s="23">
        <f>IF(A100="","",IF(F100="Retired","RETIRED",IF(COUNT(D100)&lt;1,"CHECK OPENING QTY",IF(D100&lt;=0,"CHECK OPENING QTY",IF(H100&lt;0,"CHECK NEGATIVE BALANCE",IF(I100&lt;Assumptions!$B$6,"CHECK LOW BALANCE","OK"))))))</f>
        <v/>
      </c>
    </row>
    <row r="101" ht="30" customHeight="1">
      <c r="A101" s="19" t="n"/>
      <c r="B101" s="19" t="n"/>
      <c r="C101" s="21" t="n"/>
      <c r="D101" s="22" t="n"/>
      <c r="E101" s="29" t="n"/>
      <c r="F101" s="19" t="n"/>
      <c r="G101" s="26">
        <f>IF(A101="","","lb")</f>
        <v/>
      </c>
      <c r="H101" s="28">
        <f>IF(A101="","",IFERROR(D101-SUMIFS('Usage Log'!$I$6:$I$105,'Usage Log'!$B$6:$B$105,A101,'Usage Log'!$Q$6:$Q$105,"&lt;&gt;Voided")+SUMIFS('Usage Log'!$K$6:$K$105,'Usage Log'!$B$6:$B$105,A101,'Usage Log'!$Q$6:$Q$105,"&lt;&gt;Voided"),""))</f>
        <v/>
      </c>
      <c r="I101" s="31">
        <f>IF(A101="","",IFERROR(H101/D101,""))</f>
        <v/>
      </c>
      <c r="J101" s="26">
        <f>IF(A101="","",IF(F101="Retired","RETIRED",IF(COUNT(D101)&lt;1,"CHECK OPENING QTY",IF(D101&lt;=0,"CHECK OPENING QTY",IF(H101&lt;0,"CHECK NEGATIVE BALANCE",IF(I101&lt;Assumptions!$B$6,"CHECK LOW BALANCE","OK"))))))</f>
        <v/>
      </c>
    </row>
    <row r="102" ht="30" customHeight="1">
      <c r="A102" s="19" t="n"/>
      <c r="B102" s="19" t="n"/>
      <c r="C102" s="21" t="n"/>
      <c r="D102" s="22" t="n"/>
      <c r="E102" s="29" t="n"/>
      <c r="F102" s="19" t="n"/>
      <c r="G102" s="23">
        <f>IF(A102="","","lb")</f>
        <v/>
      </c>
      <c r="H102" s="24">
        <f>IF(A102="","",IFERROR(D102-SUMIFS('Usage Log'!$I$6:$I$105,'Usage Log'!$B$6:$B$105,A102,'Usage Log'!$Q$6:$Q$105,"&lt;&gt;Voided")+SUMIFS('Usage Log'!$K$6:$K$105,'Usage Log'!$B$6:$B$105,A102,'Usage Log'!$Q$6:$Q$105,"&lt;&gt;Voided"),""))</f>
        <v/>
      </c>
      <c r="I102" s="30">
        <f>IF(A102="","",IFERROR(H102/D102,""))</f>
        <v/>
      </c>
      <c r="J102" s="23">
        <f>IF(A102="","",IF(F102="Retired","RETIRED",IF(COUNT(D102)&lt;1,"CHECK OPENING QTY",IF(D102&lt;=0,"CHECK OPENING QTY",IF(H102&lt;0,"CHECK NEGATIVE BALANCE",IF(I102&lt;Assumptions!$B$6,"CHECK LOW BALANCE","OK"))))))</f>
        <v/>
      </c>
    </row>
    <row r="103" ht="30" customHeight="1">
      <c r="A103" s="19" t="n"/>
      <c r="B103" s="19" t="n"/>
      <c r="C103" s="21" t="n"/>
      <c r="D103" s="22" t="n"/>
      <c r="E103" s="29" t="n"/>
      <c r="F103" s="19" t="n"/>
      <c r="G103" s="26">
        <f>IF(A103="","","lb")</f>
        <v/>
      </c>
      <c r="H103" s="28">
        <f>IF(A103="","",IFERROR(D103-SUMIFS('Usage Log'!$I$6:$I$105,'Usage Log'!$B$6:$B$105,A103,'Usage Log'!$Q$6:$Q$105,"&lt;&gt;Voided")+SUMIFS('Usage Log'!$K$6:$K$105,'Usage Log'!$B$6:$B$105,A103,'Usage Log'!$Q$6:$Q$105,"&lt;&gt;Voided"),""))</f>
        <v/>
      </c>
      <c r="I103" s="31">
        <f>IF(A103="","",IFERROR(H103/D103,""))</f>
        <v/>
      </c>
      <c r="J103" s="26">
        <f>IF(A103="","",IF(F103="Retired","RETIRED",IF(COUNT(D103)&lt;1,"CHECK OPENING QTY",IF(D103&lt;=0,"CHECK OPENING QTY",IF(H103&lt;0,"CHECK NEGATIVE BALANCE",IF(I103&lt;Assumptions!$B$6,"CHECK LOW BALANCE","OK"))))))</f>
        <v/>
      </c>
    </row>
    <row r="104" ht="30" customHeight="1">
      <c r="A104" s="19" t="n"/>
      <c r="B104" s="19" t="n"/>
      <c r="C104" s="21" t="n"/>
      <c r="D104" s="22" t="n"/>
      <c r="E104" s="29" t="n"/>
      <c r="F104" s="19" t="n"/>
      <c r="G104" s="23">
        <f>IF(A104="","","lb")</f>
        <v/>
      </c>
      <c r="H104" s="24">
        <f>IF(A104="","",IFERROR(D104-SUMIFS('Usage Log'!$I$6:$I$105,'Usage Log'!$B$6:$B$105,A104,'Usage Log'!$Q$6:$Q$105,"&lt;&gt;Voided")+SUMIFS('Usage Log'!$K$6:$K$105,'Usage Log'!$B$6:$B$105,A104,'Usage Log'!$Q$6:$Q$105,"&lt;&gt;Voided"),""))</f>
        <v/>
      </c>
      <c r="I104" s="30">
        <f>IF(A104="","",IFERROR(H104/D104,""))</f>
        <v/>
      </c>
      <c r="J104" s="23">
        <f>IF(A104="","",IF(F104="Retired","RETIRED",IF(COUNT(D104)&lt;1,"CHECK OPENING QTY",IF(D104&lt;=0,"CHECK OPENING QTY",IF(H104&lt;0,"CHECK NEGATIVE BALANCE",IF(I104&lt;Assumptions!$B$6,"CHECK LOW BALANCE","OK"))))))</f>
        <v/>
      </c>
    </row>
    <row r="105" ht="30" customHeight="1">
      <c r="A105" s="19" t="n"/>
      <c r="B105" s="19" t="n"/>
      <c r="C105" s="21" t="n"/>
      <c r="D105" s="22" t="n"/>
      <c r="E105" s="29" t="n"/>
      <c r="F105" s="19" t="n"/>
      <c r="G105" s="26">
        <f>IF(A105="","","lb")</f>
        <v/>
      </c>
      <c r="H105" s="28">
        <f>IF(A105="","",IFERROR(D105-SUMIFS('Usage Log'!$I$6:$I$105,'Usage Log'!$B$6:$B$105,A105,'Usage Log'!$Q$6:$Q$105,"&lt;&gt;Voided")+SUMIFS('Usage Log'!$K$6:$K$105,'Usage Log'!$B$6:$B$105,A105,'Usage Log'!$Q$6:$Q$105,"&lt;&gt;Voided"),""))</f>
        <v/>
      </c>
      <c r="I105" s="31">
        <f>IF(A105="","",IFERROR(H105/D105,""))</f>
        <v/>
      </c>
      <c r="J105" s="26">
        <f>IF(A105="","",IF(F105="Retired","RETIRED",IF(COUNT(D105)&lt;1,"CHECK OPENING QTY",IF(D105&lt;=0,"CHECK OPENING QTY",IF(H105&lt;0,"CHECK NEGATIVE BALANCE",IF(I105&lt;Assumptions!$B$6,"CHECK LOW BALANCE","OK"))))))</f>
        <v/>
      </c>
    </row>
  </sheetData>
  <autoFilter ref="A5:J105"/>
  <conditionalFormatting sqref="J6:J105">
    <cfRule type="expression" priority="1" dxfId="0">
      <formula>LEFT($J6,5)="CHECK"</formula>
    </cfRule>
    <cfRule type="expression" priority="2" dxfId="1">
      <formula>$J6="OK"</formula>
    </cfRule>
  </conditionalFormatting>
  <conditionalFormatting sqref="H6:H105">
    <cfRule type="expression" priority="3" dxfId="0">
      <formula>AND($A6&lt;&gt;"",$H6&lt;0)</formula>
    </cfRule>
  </conditionalFormatting>
  <dataValidations count="4">
    <dataValidation sqref="B6:B105" showDropDown="0" showInputMessage="0" showErrorMessage="0" allowBlank="0" error="Choose an editable refrigerant option from Assumptions." type="list">
      <formula1>INDIRECT("Assumptions!$D$4:$D$11")</formula1>
    </dataValidation>
    <dataValidation sqref="D6:D105" showDropDown="0" showInputMessage="0" showErrorMessage="0" allowBlank="0" error="Enter a nonnegative opening quantity within the editable limit." type="decimal" operator="between">
      <formula1>0</formula1>
      <formula2>INDIRECT("Assumptions!$B$11")</formula2>
    </dataValidation>
    <dataValidation sqref="E6:E105" showDropDown="0" showInputMessage="0" showErrorMessage="0" allowBlank="0" error="Enter a nonnegative cost within the editable limit." type="decimal" operator="between">
      <formula1>0</formula1>
      <formula2>INDIRECT("Assumptions!$B$12")</formula2>
    </dataValidation>
    <dataValidation sqref="F6:F105" showDropDown="0" showInputMessage="0" showErrorMessage="0" allowBlank="0" type="list">
      <formula1>INDIRECT("Assumptions!$I$4:$I$6")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17" customWidth="1" min="4" max="4"/>
    <col width="27" customWidth="1" min="5" max="5"/>
    <col width="20" customWidth="1" min="6" max="6"/>
    <col width="17" customWidth="1" min="7" max="7"/>
    <col width="17" customWidth="1" min="8" max="8"/>
    <col width="18" customWidth="1" min="9" max="9"/>
  </cols>
  <sheetData>
    <row r="1" ht="28" customHeight="1">
      <c r="A1" s="1" t="inlineStr">
        <is>
          <t>Editable Assumptions and Lists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Edit limits and list choices as needed. Checks are prompts for human review.</t>
        </is>
      </c>
    </row>
    <row r="3">
      <c r="A3" s="17" t="inlineStr">
        <is>
          <t>Setting</t>
        </is>
      </c>
      <c r="B3" s="17" t="inlineStr">
        <is>
          <t>Value</t>
        </is>
      </c>
      <c r="D3" s="17" t="inlineStr">
        <is>
          <t>Refrigerants</t>
        </is>
      </c>
      <c r="E3" s="17" t="inlineStr">
        <is>
          <t>Technicians</t>
        </is>
      </c>
      <c r="F3" s="17" t="inlineStr">
        <is>
          <t>Responsibility</t>
        </is>
      </c>
      <c r="G3" s="17" t="inlineStr">
        <is>
          <t>Job Status</t>
        </is>
      </c>
      <c r="H3" s="17" t="inlineStr">
        <is>
          <t>Record Status</t>
        </is>
      </c>
      <c r="I3" s="17" t="inlineStr">
        <is>
          <t>Cylinder Status</t>
        </is>
      </c>
    </row>
    <row r="4">
      <c r="A4" s="7" t="inlineStr">
        <is>
          <t>Report Start</t>
        </is>
      </c>
      <c r="B4" s="32" t="n">
        <v>46248</v>
      </c>
      <c r="D4" s="21" t="inlineStr">
        <is>
          <t>R-410A</t>
        </is>
      </c>
      <c r="E4" s="21" t="inlineStr">
        <is>
          <t>Alex Rowan (Fictional)</t>
        </is>
      </c>
      <c r="F4" s="21" t="inlineStr">
        <is>
          <t>Company</t>
        </is>
      </c>
      <c r="G4" s="21" t="inlineStr">
        <is>
          <t>Scheduled</t>
        </is>
      </c>
      <c r="H4" s="21" t="inlineStr">
        <is>
          <t>Draft</t>
        </is>
      </c>
      <c r="I4" s="21" t="inlineStr">
        <is>
          <t>In Service</t>
        </is>
      </c>
    </row>
    <row r="5">
      <c r="A5" s="7" t="inlineStr">
        <is>
          <t>Report End</t>
        </is>
      </c>
      <c r="B5" s="32" t="n">
        <v>46277</v>
      </c>
      <c r="D5" s="21" t="inlineStr">
        <is>
          <t>R-32</t>
        </is>
      </c>
      <c r="E5" s="21" t="inlineStr">
        <is>
          <t>Jordan Vale (Fictional)</t>
        </is>
      </c>
      <c r="F5" s="21" t="inlineStr">
        <is>
          <t>Customer</t>
        </is>
      </c>
      <c r="G5" s="21" t="inlineStr">
        <is>
          <t>In Progress</t>
        </is>
      </c>
      <c r="H5" s="21" t="inlineStr">
        <is>
          <t>Reviewed</t>
        </is>
      </c>
      <c r="I5" s="21" t="inlineStr">
        <is>
          <t>Hold</t>
        </is>
      </c>
    </row>
    <row r="6">
      <c r="A6" s="7" t="inlineStr">
        <is>
          <t>Low Balance Threshold</t>
        </is>
      </c>
      <c r="B6" s="33" t="n">
        <v>0.2</v>
      </c>
      <c r="D6" s="21" t="inlineStr">
        <is>
          <t>R-454B</t>
        </is>
      </c>
      <c r="E6" s="21" t="inlineStr">
        <is>
          <t>Casey North (Fictional)</t>
        </is>
      </c>
      <c r="F6" s="21" t="inlineStr">
        <is>
          <t>Warranty Review</t>
        </is>
      </c>
      <c r="G6" s="21" t="inlineStr">
        <is>
          <t>Complete</t>
        </is>
      </c>
      <c r="H6" s="21" t="inlineStr">
        <is>
          <t>Voided</t>
        </is>
      </c>
      <c r="I6" s="21" t="inlineStr">
        <is>
          <t>Retired</t>
        </is>
      </c>
    </row>
    <row r="7">
      <c r="A7" s="7" t="inlineStr">
        <is>
          <t>Quantity Variance Tolerance</t>
        </is>
      </c>
      <c r="B7" s="34" t="n">
        <v>0.05</v>
      </c>
      <c r="D7" s="21" t="inlineStr">
        <is>
          <t>R-22</t>
        </is>
      </c>
      <c r="E7" s="21" t="inlineStr">
        <is>
          <t>Taylor Finch (Fictional)</t>
        </is>
      </c>
      <c r="F7" s="21" t="n"/>
      <c r="G7" s="21" t="inlineStr">
        <is>
          <t>Follow-up</t>
        </is>
      </c>
      <c r="H7" s="21" t="n"/>
      <c r="I7" s="21" t="n"/>
    </row>
    <row r="8">
      <c r="A8" s="7" t="inlineStr">
        <is>
          <t>Earliest Entry Date</t>
        </is>
      </c>
      <c r="B8" s="32" t="n">
        <v>44452</v>
      </c>
      <c r="D8" s="21" t="inlineStr">
        <is>
          <t>R-134a</t>
        </is>
      </c>
      <c r="E8" s="21" t="inlineStr">
        <is>
          <t>Morgan Pine (Fictional)</t>
        </is>
      </c>
      <c r="F8" s="21" t="n"/>
      <c r="G8" s="21" t="n"/>
      <c r="H8" s="21" t="n"/>
      <c r="I8" s="21" t="n"/>
    </row>
    <row r="9">
      <c r="A9" s="7" t="inlineStr">
        <is>
          <t>Latest Entry Date</t>
        </is>
      </c>
      <c r="B9" s="32" t="n">
        <v>46642</v>
      </c>
      <c r="D9" s="21" t="inlineStr">
        <is>
          <t>R-407C</t>
        </is>
      </c>
      <c r="E9" s="21" t="inlineStr">
        <is>
          <t>Riley Ember (Fictional)</t>
        </is>
      </c>
      <c r="F9" s="21" t="n"/>
      <c r="G9" s="21" t="n"/>
      <c r="H9" s="21" t="n"/>
      <c r="I9" s="21" t="n"/>
    </row>
    <row r="10">
      <c r="A10" s="7" t="inlineStr">
        <is>
          <t>Maximum Quantity per Entry</t>
        </is>
      </c>
      <c r="B10" s="34" t="n">
        <v>200</v>
      </c>
      <c r="D10" s="21" t="inlineStr">
        <is>
          <t>R-404A</t>
        </is>
      </c>
      <c r="E10" s="21" t="inlineStr">
        <is>
          <t>Sam Harbor (Fictional)</t>
        </is>
      </c>
      <c r="F10" s="21" t="n"/>
      <c r="G10" s="21" t="n"/>
      <c r="H10" s="21" t="n"/>
      <c r="I10" s="21" t="n"/>
    </row>
    <row r="11">
      <c r="A11" s="7" t="inlineStr">
        <is>
          <t>Maximum Opening Quantity</t>
        </is>
      </c>
      <c r="B11" s="34" t="n">
        <v>500</v>
      </c>
      <c r="D11" s="21" t="inlineStr">
        <is>
          <t>R-1234yf</t>
        </is>
      </c>
      <c r="E11" s="21" t="inlineStr">
        <is>
          <t>Jamie Frost (Fictional)</t>
        </is>
      </c>
      <c r="F11" s="21" t="n"/>
      <c r="G11" s="21" t="n"/>
      <c r="H11" s="21" t="n"/>
      <c r="I11" s="21" t="n"/>
    </row>
    <row r="12">
      <c r="A12" s="7" t="inlineStr">
        <is>
          <t>Maximum Unit Cost</t>
        </is>
      </c>
      <c r="B12" s="29" t="n">
        <v>500</v>
      </c>
    </row>
    <row r="13"/>
    <row r="14">
      <c r="A14" s="3" t="inlineStr">
        <is>
          <t>All sample people, customers, jobs, equipment, cylinders, and transactions are fictional.</t>
        </is>
      </c>
    </row>
    <row r="15">
      <c r="A15" s="3" t="inlineStr">
        <is>
          <t>Responsibility and status choices are internal record fields and do not determine compliance or legal treatment.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2026-09-12T10:10:46Z</dcterms:created>
  <dcterms:modified xmlns:dcterms="http://purl.org/dc/terms/" xmlns:xsi="http://www.w3.org/2001/XMLSchema-instance" xsi:type="dcterms:W3CDTF">2026-09-12T10:10:47+00:00Z</dcterms:modified>
</cp:coreProperties>
</file>